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charts/chart4.xml" ContentType="application/vnd.openxmlformats-officedocument.drawingml.chart+xml"/>
  <Override PartName="/xl/charts/colors3.xml" ContentType="application/vnd.ms-office.chartcolorstyle+xml"/>
  <Override PartName="/xl/charts/style3.xml" ContentType="application/vnd.ms-office.chartstyle+xml"/>
  <Override PartName="/xl/charts/chart3.xml" ContentType="application/vnd.openxmlformats-officedocument.drawingml.char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1.xml" ContentType="application/vnd.ms-office.chartcolorstyle+xml"/>
  <Override PartName="/xl/worksheets/sheet1.xml" ContentType="application/vnd.openxmlformats-officedocument.spreadsheetml.worksheet+xml"/>
  <Override PartName="/xl/charts/chart1.xml" ContentType="application/vnd.openxmlformats-officedocument.drawingml.char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3.xml" ContentType="application/vnd.openxmlformats-officedocument.spreadsheetml.worksheet+xml"/>
  <Override PartName="/xl/worksheets/sheet52.xml" ContentType="application/vnd.openxmlformats-officedocument.spreadsheetml.worksheet+xml"/>
  <Override PartName="/xl/worksheets/sheet51.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58.xml" ContentType="application/vnd.openxmlformats-officedocument.spreadsheetml.worksheet+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Amanda\CommunityBenefitsReports\FY18 Reports\"/>
    </mc:Choice>
  </mc:AlternateContent>
  <workbookProtection workbookAlgorithmName="SHA-512" workbookHashValue="ZJqqFtyPYvGPSGdglMCgNmTY0y/+5LWPx6WWP9HCxB4/DRfbsdGdqJXhNHyaf+/5xxqYlqklC3Sbx+ERRkzTHw==" workbookSaltValue="TAV7WhRUKVPRy1wmfLSsYw==" workbookSpinCount="100000" lockStructure="1"/>
  <bookViews>
    <workbookView xWindow="0" yWindow="0" windowWidth="28740" windowHeight="12270" tabRatio="874" activeTab="5"/>
  </bookViews>
  <sheets>
    <sheet name="DME_NSPI-all" sheetId="3" r:id="rId1"/>
    <sheet name="Charity in Rates" sheetId="127" r:id="rId2"/>
    <sheet name="Figures" sheetId="6" r:id="rId3"/>
    <sheet name="CB Table 1" sheetId="5" r:id="rId4"/>
    <sheet name="Rate Support-Attachment I" sheetId="4" r:id="rId5"/>
    <sheet name="Attachment II-All Hospitals" sheetId="126" r:id="rId6"/>
    <sheet name="Attachment III-All" sheetId="60" r:id="rId7"/>
    <sheet name="#1-Meritus" sheetId="67" r:id="rId8"/>
    <sheet name="#2-UMMC" sheetId="68" r:id="rId9"/>
    <sheet name="#3-Prince Georges Hospital" sheetId="110" r:id="rId10"/>
    <sheet name="#4-Holy Cross Hospital" sheetId="76" r:id="rId11"/>
    <sheet name="#5-Frederick Memorial Hospital" sheetId="77" r:id="rId12"/>
    <sheet name="#6-UM Harford Memorial" sheetId="73" r:id="rId13"/>
    <sheet name="#8-Mercy" sheetId="78" r:id="rId14"/>
    <sheet name="#9-Johns Hopkins" sheetId="79" r:id="rId15"/>
    <sheet name="#10-UM Shore Health Dorchester" sheetId="108" r:id="rId16"/>
    <sheet name="#11-St. Agnes Hospital" sheetId="80" r:id="rId17"/>
    <sheet name="#12-Sinai" sheetId="81" r:id="rId18"/>
    <sheet name="#13-Bon Secours" sheetId="82" r:id="rId19"/>
    <sheet name="#15-MedStar Franklin Square" sheetId="83" r:id="rId20"/>
    <sheet name="#16-Washington Adventist" sheetId="113" r:id="rId21"/>
    <sheet name="#17-Garrett County Memorial" sheetId="84" r:id="rId22"/>
    <sheet name="#18-MedStar Montgomery General" sheetId="85" r:id="rId23"/>
    <sheet name="#19-Peninsula Regional" sheetId="86" r:id="rId24"/>
    <sheet name="#22-Suburban" sheetId="122" r:id="rId25"/>
    <sheet name="#23-AAMC" sheetId="123" r:id="rId26"/>
    <sheet name="#24-MedStar Union Memorial" sheetId="88" r:id="rId27"/>
    <sheet name="#27-Western Maryland Regional" sheetId="89" r:id="rId28"/>
    <sheet name="#28-MedStar St. Marys" sheetId="90" r:id="rId29"/>
    <sheet name="#29-JH Bayview" sheetId="124" r:id="rId30"/>
    <sheet name="#30-UM Shore Health Chestertown" sheetId="107" r:id="rId31"/>
    <sheet name="#32-Union Hospital Cecil Co" sheetId="92" r:id="rId32"/>
    <sheet name="#33-Carroll Hospital Center" sheetId="93" r:id="rId33"/>
    <sheet name="#34-MedStar Harbor Hospital" sheetId="94" r:id="rId34"/>
    <sheet name="#35-UM Charles Regional" sheetId="95" r:id="rId35"/>
    <sheet name="#37-UM Shore Health Easton" sheetId="109" r:id="rId36"/>
    <sheet name="#38-UM Midtown" sheetId="70" r:id="rId37"/>
    <sheet name="#39-Calvert Memorial" sheetId="96" r:id="rId38"/>
    <sheet name="#40-Lifebridge Northwest" sheetId="97" r:id="rId39"/>
    <sheet name="#43-UM BWMC" sheetId="71" r:id="rId40"/>
    <sheet name="#44-GBMC" sheetId="118" r:id="rId41"/>
    <sheet name="#45-McCready" sheetId="117" r:id="rId42"/>
    <sheet name="#48-Howard County" sheetId="98" r:id="rId43"/>
    <sheet name="#49-UM Upper Chesapeake Medical" sheetId="74" r:id="rId44"/>
    <sheet name="#51-Doctors Community Hospital" sheetId="99" r:id="rId45"/>
    <sheet name="#60-Fort Washington" sheetId="101" r:id="rId46"/>
    <sheet name="#61-Atlantic General" sheetId="102" r:id="rId47"/>
    <sheet name="#62-MedStar Southern Maryland" sheetId="103" r:id="rId48"/>
    <sheet name="#63-UM St Joseph" sheetId="125" r:id="rId49"/>
    <sheet name="#64-Levindale" sheetId="104" r:id="rId50"/>
    <sheet name="#65-Holy Cross Germantown" sheetId="106" r:id="rId51"/>
    <sheet name="#2001-UM ROI" sheetId="72" r:id="rId52"/>
    <sheet name="#2004-MedStar Good Samaritan" sheetId="100" r:id="rId53"/>
    <sheet name="#5050-Shady Grove Adventist" sheetId="114" r:id="rId54"/>
    <sheet name="#3029-Adventist Rehab" sheetId="119" r:id="rId55"/>
    <sheet name="#4000-Sheppard Pratt" sheetId="105" r:id="rId56"/>
    <sheet name="#4013-ABH-Rockville" sheetId="115" r:id="rId57"/>
    <sheet name="#5034-Mt Washington Pediatric" sheetId="75"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xlnm._FilterDatabase" localSheetId="5" hidden="1">'Attachment II-All Hospitals'!$A$2:$K$2</definedName>
    <definedName name="_xlnm._FilterDatabase" localSheetId="2" hidden="1">Figures!$A$2:$C$11</definedName>
    <definedName name="acct" localSheetId="24">#REF!</definedName>
    <definedName name="acct" localSheetId="25">#REF!</definedName>
    <definedName name="acct" localSheetId="29">#REF!</definedName>
    <definedName name="acct" localSheetId="48">#REF!</definedName>
    <definedName name="acct" localSheetId="5">#REF!</definedName>
    <definedName name="acct" localSheetId="6">#REF!</definedName>
    <definedName name="acct">#REF!</definedName>
    <definedName name="acct1" localSheetId="24">#REF!</definedName>
    <definedName name="acct1" localSheetId="25">#REF!</definedName>
    <definedName name="acct1" localSheetId="29">#REF!</definedName>
    <definedName name="acct1" localSheetId="48">#REF!</definedName>
    <definedName name="acct1" localSheetId="5">#REF!</definedName>
    <definedName name="acct1" localSheetId="6">#REF!</definedName>
    <definedName name="acct1">#REF!</definedName>
    <definedName name="bal_umc" localSheetId="24">'[1]p8 CONS BS'!#REF!</definedName>
    <definedName name="bal_umc" localSheetId="25">'[1]p8 CONS BS'!#REF!</definedName>
    <definedName name="bal_umc" localSheetId="29">'[1]p8 CONS BS'!#REF!</definedName>
    <definedName name="bal_umc" localSheetId="48">'[1]p8 CONS BS'!#REF!</definedName>
    <definedName name="bal_umc" localSheetId="5">'[1]p8 CONS BS'!#REF!</definedName>
    <definedName name="bal_umc" localSheetId="6">'[1]p8 CONS BS'!#REF!</definedName>
    <definedName name="bal_umc">'[1]p8 CONS BS'!#REF!</definedName>
    <definedName name="BALANCE_UMMC" localSheetId="24">'[1]p8 CONS BS'!#REF!</definedName>
    <definedName name="BALANCE_UMMC" localSheetId="25">'[1]p8 CONS BS'!#REF!</definedName>
    <definedName name="BALANCE_UMMC" localSheetId="29">'[1]p8 CONS BS'!#REF!</definedName>
    <definedName name="BALANCE_UMMC" localSheetId="48">'[1]p8 CONS BS'!#REF!</definedName>
    <definedName name="BALANCE_UMMC" localSheetId="5">'[1]p8 CONS BS'!#REF!</definedName>
    <definedName name="BALANCE_UMMC" localSheetId="6">'[1]p8 CONS BS'!#REF!</definedName>
    <definedName name="BALANCE_UMMC">'[1]p8 CONS BS'!#REF!</definedName>
    <definedName name="C_Code" localSheetId="24">[2]D!#REF!</definedName>
    <definedName name="C_Code" localSheetId="25">[2]D!#REF!</definedName>
    <definedName name="C_Code" localSheetId="29">[2]D!#REF!</definedName>
    <definedName name="C_Code" localSheetId="48">[2]D!#REF!</definedName>
    <definedName name="C_Code" localSheetId="5">[2]D!#REF!</definedName>
    <definedName name="C_Code">[2]D!#REF!</definedName>
    <definedName name="C_Num" localSheetId="24">[2]D!#REF!</definedName>
    <definedName name="C_Num" localSheetId="25">[2]D!#REF!</definedName>
    <definedName name="C_Num" localSheetId="29">[2]D!#REF!</definedName>
    <definedName name="C_Num" localSheetId="48">[2]D!#REF!</definedName>
    <definedName name="C_Num" localSheetId="5">[2]D!#REF!</definedName>
    <definedName name="C_Num">[2]D!#REF!</definedName>
    <definedName name="CASH_UMMC" localSheetId="24">'[1]p10 CF'!#REF!</definedName>
    <definedName name="CASH_UMMC" localSheetId="25">'[1]p10 CF'!#REF!</definedName>
    <definedName name="CASH_UMMC" localSheetId="29">'[1]p10 CF'!#REF!</definedName>
    <definedName name="CASH_UMMC" localSheetId="48">'[1]p10 CF'!#REF!</definedName>
    <definedName name="CASH_UMMC" localSheetId="5">'[1]p10 CF'!#REF!</definedName>
    <definedName name="CASH_UMMC">'[1]p10 CF'!#REF!</definedName>
    <definedName name="CFA_I" localSheetId="24">#REF!</definedName>
    <definedName name="CFA_I" localSheetId="25">#REF!</definedName>
    <definedName name="CFA_I" localSheetId="29">#REF!</definedName>
    <definedName name="CFA_I" localSheetId="48">#REF!</definedName>
    <definedName name="CFA_I" localSheetId="5">#REF!</definedName>
    <definedName name="CFA_I" localSheetId="6">#REF!</definedName>
    <definedName name="CFA_I">#REF!</definedName>
    <definedName name="consol" localSheetId="24">#REF!</definedName>
    <definedName name="consol" localSheetId="25">#REF!</definedName>
    <definedName name="consol" localSheetId="29">#REF!</definedName>
    <definedName name="consol" localSheetId="48">#REF!</definedName>
    <definedName name="consol" localSheetId="5">#REF!</definedName>
    <definedName name="consol" localSheetId="6">#REF!</definedName>
    <definedName name="consol">#REF!</definedName>
    <definedName name="CPV" localSheetId="24">#REF!</definedName>
    <definedName name="CPV" localSheetId="25">#REF!</definedName>
    <definedName name="CPV" localSheetId="29">#REF!</definedName>
    <definedName name="CPV" localSheetId="48">#REF!</definedName>
    <definedName name="CPV" localSheetId="5">#REF!</definedName>
    <definedName name="CPV">#REF!</definedName>
    <definedName name="csh_ummc" localSheetId="24">'[1]p10 CF'!#REF!</definedName>
    <definedName name="csh_ummc" localSheetId="25">'[1]p10 CF'!#REF!</definedName>
    <definedName name="csh_ummc" localSheetId="29">'[1]p10 CF'!#REF!</definedName>
    <definedName name="csh_ummc" localSheetId="48">'[1]p10 CF'!#REF!</definedName>
    <definedName name="csh_ummc" localSheetId="5">'[1]p10 CF'!#REF!</definedName>
    <definedName name="csh_ummc" localSheetId="6">'[1]p10 CF'!#REF!</definedName>
    <definedName name="csh_ummc">'[1]p10 CF'!#REF!</definedName>
    <definedName name="CurrRO">'[3]PY RO'!$A$13:$K$86</definedName>
    <definedName name="DataRange" localSheetId="24">#REF!</definedName>
    <definedName name="DataRange" localSheetId="25">#REF!</definedName>
    <definedName name="DataRange" localSheetId="29">#REF!</definedName>
    <definedName name="DataRange" localSheetId="48">#REF!</definedName>
    <definedName name="DataRange" localSheetId="5">#REF!</definedName>
    <definedName name="DataRange" localSheetId="6">#REF!</definedName>
    <definedName name="DataRange">#REF!</definedName>
    <definedName name="dept" localSheetId="24">#REF!</definedName>
    <definedName name="dept" localSheetId="25">#REF!</definedName>
    <definedName name="dept" localSheetId="29">#REF!</definedName>
    <definedName name="dept" localSheetId="48">#REF!</definedName>
    <definedName name="dept" localSheetId="5">#REF!</definedName>
    <definedName name="dept" localSheetId="6">#REF!</definedName>
    <definedName name="dept">#REF!</definedName>
    <definedName name="DP_Schedule" localSheetId="24">#REF!</definedName>
    <definedName name="DP_Schedule" localSheetId="25">#REF!</definedName>
    <definedName name="DP_Schedule" localSheetId="29">#REF!</definedName>
    <definedName name="DP_Schedule" localSheetId="48">#REF!</definedName>
    <definedName name="DP_Schedule" localSheetId="5">#REF!</definedName>
    <definedName name="DP_Schedule">#REF!</definedName>
    <definedName name="Exh_II" localSheetId="24">#REF!</definedName>
    <definedName name="Exh_II" localSheetId="25">#REF!</definedName>
    <definedName name="Exh_II" localSheetId="29">#REF!</definedName>
    <definedName name="Exh_II" localSheetId="48">#REF!</definedName>
    <definedName name="Exh_II" localSheetId="5">#REF!</definedName>
    <definedName name="Exh_II">#REF!</definedName>
    <definedName name="Exh_V" localSheetId="24">#REF!</definedName>
    <definedName name="Exh_V" localSheetId="25">#REF!</definedName>
    <definedName name="Exh_V" localSheetId="29">#REF!</definedName>
    <definedName name="Exh_V" localSheetId="48">#REF!</definedName>
    <definedName name="Exh_V" localSheetId="5">#REF!</definedName>
    <definedName name="Exh_V">#REF!</definedName>
    <definedName name="Factors_I" localSheetId="24">#REF!</definedName>
    <definedName name="Factors_I" localSheetId="25">#REF!</definedName>
    <definedName name="Factors_I" localSheetId="29">#REF!</definedName>
    <definedName name="Factors_I" localSheetId="48">#REF!</definedName>
    <definedName name="Factors_I" localSheetId="5">#REF!</definedName>
    <definedName name="Factors_I" localSheetId="6">#REF!</definedName>
    <definedName name="Factors_I">#REF!</definedName>
    <definedName name="flex" localSheetId="24">#REF!</definedName>
    <definedName name="flex" localSheetId="25">#REF!</definedName>
    <definedName name="flex" localSheetId="29">#REF!</definedName>
    <definedName name="flex" localSheetId="48">#REF!</definedName>
    <definedName name="flex" localSheetId="5">#REF!</definedName>
    <definedName name="flex" localSheetId="6">#REF!</definedName>
    <definedName name="flex">#REF!</definedName>
    <definedName name="FUND_CONS" localSheetId="24">#REF!</definedName>
    <definedName name="FUND_CONS" localSheetId="25">#REF!</definedName>
    <definedName name="FUND_CONS" localSheetId="29">#REF!</definedName>
    <definedName name="FUND_CONS" localSheetId="48">#REF!</definedName>
    <definedName name="FUND_CONS" localSheetId="5">#REF!</definedName>
    <definedName name="FUND_CONS" localSheetId="6">#REF!</definedName>
    <definedName name="FUND_CONS">#REF!</definedName>
    <definedName name="HeaderRange" localSheetId="24">#REF!</definedName>
    <definedName name="HeaderRange" localSheetId="25">#REF!</definedName>
    <definedName name="HeaderRange" localSheetId="29">#REF!</definedName>
    <definedName name="HeaderRange" localSheetId="48">#REF!</definedName>
    <definedName name="HeaderRange" localSheetId="5">#REF!</definedName>
    <definedName name="HeaderRange" localSheetId="6">#REF!</definedName>
    <definedName name="HeaderRange">#REF!</definedName>
    <definedName name="Hosp_Num">'[3]Gen Info'!$B$4</definedName>
    <definedName name="Hospital_Phys" localSheetId="24">#REF!</definedName>
    <definedName name="Hospital_Phys" localSheetId="25">#REF!</definedName>
    <definedName name="Hospital_Phys" localSheetId="29">#REF!</definedName>
    <definedName name="Hospital_Phys" localSheetId="48">#REF!</definedName>
    <definedName name="Hospital_Phys" localSheetId="5">#REF!</definedName>
    <definedName name="Hospital_Phys">#REF!</definedName>
    <definedName name="inac1">[4]UMH!$A$976:$W$1022</definedName>
    <definedName name="inac4">[4]CC!$A$136:$W$140</definedName>
    <definedName name="inac7">[4]STC!$A$208:$W$212</definedName>
    <definedName name="ker" localSheetId="24">#REF!</definedName>
    <definedName name="ker" localSheetId="25">#REF!</definedName>
    <definedName name="ker" localSheetId="29">#REF!</definedName>
    <definedName name="ker" localSheetId="48">#REF!</definedName>
    <definedName name="ker" localSheetId="5">#REF!</definedName>
    <definedName name="ker" localSheetId="6">#REF!</definedName>
    <definedName name="ker">#REF!</definedName>
    <definedName name="kernan" localSheetId="24">#REF!</definedName>
    <definedName name="kernan" localSheetId="25">#REF!</definedName>
    <definedName name="kernan" localSheetId="29">#REF!</definedName>
    <definedName name="kernan" localSheetId="48">#REF!</definedName>
    <definedName name="kernan" localSheetId="5">#REF!</definedName>
    <definedName name="kernan" localSheetId="6">#REF!</definedName>
    <definedName name="kernan">#REF!</definedName>
    <definedName name="LookDate">'[3]Cvr (DON''T HIDE)'!$P$1:$Q$12</definedName>
    <definedName name="Med_Ed" localSheetId="24">#REF!</definedName>
    <definedName name="Med_Ed" localSheetId="25">#REF!</definedName>
    <definedName name="Med_Ed" localSheetId="29">#REF!</definedName>
    <definedName name="Med_Ed" localSheetId="48">#REF!</definedName>
    <definedName name="Med_Ed" localSheetId="5">#REF!</definedName>
    <definedName name="Med_Ed">#REF!</definedName>
    <definedName name="mrh" localSheetId="24">#REF!</definedName>
    <definedName name="mrh" localSheetId="25">#REF!</definedName>
    <definedName name="mrh" localSheetId="29">#REF!</definedName>
    <definedName name="mrh" localSheetId="48">#REF!</definedName>
    <definedName name="mrh" localSheetId="5">#REF!</definedName>
    <definedName name="mrh" localSheetId="6">#REF!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 localSheetId="24">'[1]p7 CONS IS'!#REF!</definedName>
    <definedName name="pan" localSheetId="25">'[1]p7 CONS IS'!#REF!</definedName>
    <definedName name="pan" localSheetId="29">'[1]p7 CONS IS'!#REF!</definedName>
    <definedName name="pan" localSheetId="48">'[1]p7 CONS IS'!#REF!</definedName>
    <definedName name="pan" localSheetId="5">'[1]p7 CONS IS'!#REF!</definedName>
    <definedName name="pan" localSheetId="6">'[1]p7 CONS IS'!#REF!</definedName>
    <definedName name="pan">'[1]p7 CONS IS'!#REF!</definedName>
    <definedName name="PANDL" localSheetId="24">'[1]p7 CONS IS'!#REF!</definedName>
    <definedName name="PANDL" localSheetId="25">'[1]p7 CONS IS'!#REF!</definedName>
    <definedName name="PANDL" localSheetId="29">'[1]p7 CONS IS'!#REF!</definedName>
    <definedName name="PANDL" localSheetId="48">'[1]p7 CONS IS'!#REF!</definedName>
    <definedName name="PANDL" localSheetId="5">'[1]p7 CONS IS'!#REF!</definedName>
    <definedName name="PANDL" localSheetId="6">'[1]p7 CONS IS'!#REF!</definedName>
    <definedName name="PANDL">'[1]p7 CONS IS'!#REF!</definedName>
    <definedName name="PLROWS" localSheetId="24">#REF!</definedName>
    <definedName name="PLROWS" localSheetId="25">#REF!</definedName>
    <definedName name="PLROWS" localSheetId="29">#REF!</definedName>
    <definedName name="PLROWS" localSheetId="48">#REF!</definedName>
    <definedName name="PLROWS" localSheetId="5">#REF!</definedName>
    <definedName name="PLROWS" localSheetId="6">#REF!</definedName>
    <definedName name="PLROWS">#REF!</definedName>
    <definedName name="_xlnm.Print_Area" localSheetId="16">'#11-St. Agnes Hospital'!$A$1:$L$156</definedName>
    <definedName name="_xlnm.Print_Area" localSheetId="17">'#12-Sinai'!$A$1:$L$156</definedName>
    <definedName name="_xlnm.Print_Area" localSheetId="18">'#13-Bon Secours'!$A$1:$L$156</definedName>
    <definedName name="_xlnm.Print_Area" localSheetId="19">'#15-MedStar Franklin Square'!$A$1:$K$157</definedName>
    <definedName name="_xlnm.Print_Area" localSheetId="20">'#16-Washington Adventist'!$A$1:$L$156</definedName>
    <definedName name="_xlnm.Print_Area" localSheetId="21">'#17-Garrett County Memorial'!$A$1:$L$156</definedName>
    <definedName name="_xlnm.Print_Area" localSheetId="23">'#19-Peninsula Regional'!$A$1:$L$146</definedName>
    <definedName name="_xlnm.Print_Area" localSheetId="7">'#1-Meritus'!$A$1:$L$156</definedName>
    <definedName name="_xlnm.Print_Area" localSheetId="51">'#2001-UM ROI'!$A$1:$L$156</definedName>
    <definedName name="_xlnm.Print_Area" localSheetId="52">'#2004-MedStar Good Samaritan'!$A$1:$L$156</definedName>
    <definedName name="_xlnm.Print_Area" localSheetId="24">'#22-Suburban'!$A$1:$K$145</definedName>
    <definedName name="_xlnm.Print_Area" localSheetId="25">'#23-AAMC'!#REF!</definedName>
    <definedName name="_xlnm.Print_Area" localSheetId="27">'#27-Western Maryland Regional'!$A$1:$L$156</definedName>
    <definedName name="_xlnm.Print_Area" localSheetId="29">'[1]p7 CONS IS'!#REF!</definedName>
    <definedName name="_xlnm.Print_Area" localSheetId="8">'#2-UMMC'!$A$1:$L$156</definedName>
    <definedName name="_xlnm.Print_Area" localSheetId="54">'#3029-Adventist Rehab'!$A$1:$L$156</definedName>
    <definedName name="_xlnm.Print_Area" localSheetId="31">'#32-Union Hospital Cecil Co'!$A$1:$L$156</definedName>
    <definedName name="_xlnm.Print_Area" localSheetId="32">'#33-Carroll Hospital Center'!$A$1:$L$156</definedName>
    <definedName name="_xlnm.Print_Area" localSheetId="34">'#35-UM Charles Regional'!$A$1:$L$156</definedName>
    <definedName name="_xlnm.Print_Area" localSheetId="36">'#38-UM Midtown'!$A$1:$L$156</definedName>
    <definedName name="_xlnm.Print_Area" localSheetId="37">'#39-Calvert Memorial'!$A$1:$K$156</definedName>
    <definedName name="_xlnm.Print_Area" localSheetId="9">'#3-Prince Georges Hospital'!$A$1:$L$156</definedName>
    <definedName name="_xlnm.Print_Area" localSheetId="55">'#4000-Sheppard Pratt'!$A$1:$L$156</definedName>
    <definedName name="_xlnm.Print_Area" localSheetId="56">'#4013-ABH-Rockville'!$A$1:$L$156</definedName>
    <definedName name="_xlnm.Print_Area" localSheetId="38">'#40-Lifebridge Northwest'!$A$1:$L$156</definedName>
    <definedName name="_xlnm.Print_Area" localSheetId="39">'#43-UM BWMC'!$A$1:$L$156</definedName>
    <definedName name="_xlnm.Print_Area" localSheetId="40">'#44-GBMC'!$A$1:$L$156</definedName>
    <definedName name="_xlnm.Print_Area" localSheetId="41">'#45-McCready'!$A$1:$L$156</definedName>
    <definedName name="_xlnm.Print_Area" localSheetId="42">'#48-Howard County'!$A$1:$L$156</definedName>
    <definedName name="_xlnm.Print_Area" localSheetId="43">'#49-UM Upper Chesapeake Medical'!$A$1:$L$156</definedName>
    <definedName name="_xlnm.Print_Area" localSheetId="10">'#4-Holy Cross Hospital'!$A$1:$L$156</definedName>
    <definedName name="_xlnm.Print_Area" localSheetId="53">'#5050-Shady Grove Adventist'!$A$1:$L$156</definedName>
    <definedName name="_xlnm.Print_Area" localSheetId="44">'#51-Doctors Community Hospital'!$A$1:$L$156</definedName>
    <definedName name="_xlnm.Print_Area" localSheetId="11">'#5-Frederick Memorial Hospital'!$A$1:$L$156</definedName>
    <definedName name="_xlnm.Print_Area" localSheetId="45">'#60-Fort Washington'!$A$1:$L$156</definedName>
    <definedName name="_xlnm.Print_Area" localSheetId="46">'#61-Atlantic General'!$A$1:$L$156</definedName>
    <definedName name="_xlnm.Print_Area" localSheetId="47">'#62-MedStar Southern Maryland'!$A$1:$L$156</definedName>
    <definedName name="_xlnm.Print_Area" localSheetId="48">'[1]p7 CONS IS'!#REF!</definedName>
    <definedName name="_xlnm.Print_Area" localSheetId="49">'#64-Levindale'!$A$1:$L$156</definedName>
    <definedName name="_xlnm.Print_Area" localSheetId="50">'#65-Holy Cross Germantown'!$A$1:$L$156</definedName>
    <definedName name="_xlnm.Print_Area" localSheetId="12">'#6-UM Harford Memorial'!$A$1:$L$156</definedName>
    <definedName name="_xlnm.Print_Area" localSheetId="13">'#8-Mercy'!$A$1:$L$156</definedName>
    <definedName name="_xlnm.Print_Area" localSheetId="14">'#9-Johns Hopkins'!$A$1:$L$156</definedName>
    <definedName name="_xlnm.Print_Area" localSheetId="5">'Attachment II-All Hospitals'!$A$1:$K$56</definedName>
    <definedName name="_xlnm.Print_Area" localSheetId="3">'CB Table 1'!$A$1:$G$13</definedName>
    <definedName name="_xlnm.Print_Area" localSheetId="0">'DME_NSPI-all'!$B$2:$E$53</definedName>
    <definedName name="_xlnm.Print_Area" localSheetId="2">Figures!$A$1:$O$89</definedName>
    <definedName name="_xlnm.Print_Area" localSheetId="4">'Rate Support-Attachment I'!$A$1:$F$53</definedName>
    <definedName name="_xlnm.Print_Area">'[1]p7 CONS IS'!#REF!</definedName>
    <definedName name="_xlnm.Print_Titles" localSheetId="15">'#10-UM Shore Health Dorchester'!$1:$12</definedName>
    <definedName name="_xlnm.Print_Titles" localSheetId="30">'#30-UM Shore Health Chestertown'!$1:$12</definedName>
    <definedName name="_xlnm.Print_Titles" localSheetId="35">'#37-UM Shore Health Easton'!$1:$12</definedName>
    <definedName name="_xlnm.Print_Titles" localSheetId="6">'Attachment III-All'!$1:$1</definedName>
    <definedName name="Prior_M">'[3]Input M'!$A$4:$I$85</definedName>
    <definedName name="Prior_TB">'[3]Input TB'!$B$4:$CV$133</definedName>
    <definedName name="Psych?">'[5]Gen Info'!$B$17</definedName>
    <definedName name="PY_M">[3]PY_M!$A$4:$AP$106</definedName>
    <definedName name="Rate_Realignment" localSheetId="24">#REF!</definedName>
    <definedName name="Rate_Realignment" localSheetId="25">#REF!</definedName>
    <definedName name="Rate_Realignment" localSheetId="29">#REF!</definedName>
    <definedName name="Rate_Realignment" localSheetId="48">#REF!</definedName>
    <definedName name="Rate_Realignment" localSheetId="5">#REF!</definedName>
    <definedName name="Rate_Realignment">#REF!</definedName>
    <definedName name="RNAdj" localSheetId="24">[6]RR!#REF!</definedName>
    <definedName name="RNAdj" localSheetId="25">[6]RR!#REF!</definedName>
    <definedName name="RNAdj" localSheetId="29">[6]RR!#REF!</definedName>
    <definedName name="RNAdj" localSheetId="48">[6]RR!#REF!</definedName>
    <definedName name="RNAdj" localSheetId="5">[6]RR!#REF!</definedName>
    <definedName name="RNAdj">[6]RR!#REF!</definedName>
    <definedName name="RoutineSpread" localSheetId="24">[6]RR!#REF!</definedName>
    <definedName name="RoutineSpread" localSheetId="25">[6]RR!#REF!</definedName>
    <definedName name="RoutineSpread" localSheetId="29">[6]RR!#REF!</definedName>
    <definedName name="RoutineSpread" localSheetId="48">[6]RR!#REF!</definedName>
    <definedName name="RoutineSpread" localSheetId="5">[6]RR!#REF!</definedName>
    <definedName name="RoutineSpread">[6]RR!#REF!</definedName>
    <definedName name="RR_1" localSheetId="24">#REF!</definedName>
    <definedName name="RR_1" localSheetId="25">#REF!</definedName>
    <definedName name="RR_1" localSheetId="29">#REF!</definedName>
    <definedName name="RR_1" localSheetId="48">#REF!</definedName>
    <definedName name="RR_1" localSheetId="5">#REF!</definedName>
    <definedName name="RR_1">#REF!</definedName>
    <definedName name="RR_2" localSheetId="24">#REF!</definedName>
    <definedName name="RR_2" localSheetId="25">#REF!</definedName>
    <definedName name="RR_2" localSheetId="29">#REF!</definedName>
    <definedName name="RR_2" localSheetId="48">#REF!</definedName>
    <definedName name="RR_2" localSheetId="5">#REF!</definedName>
    <definedName name="RR_2" localSheetId="6">#REF!</definedName>
    <definedName name="RR_2">#REF!</definedName>
    <definedName name="RRAdjustor" localSheetId="24">#REF!</definedName>
    <definedName name="RRAdjustor" localSheetId="25">#REF!</definedName>
    <definedName name="RRAdjustor" localSheetId="29">#REF!</definedName>
    <definedName name="RRAdjustor" localSheetId="48">#REF!</definedName>
    <definedName name="RRAdjustor" localSheetId="5">#REF!</definedName>
    <definedName name="RRAdjustor" localSheetId="6">#REF!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 localSheetId="24">#REF!</definedName>
    <definedName name="SortRange" localSheetId="25">#REF!</definedName>
    <definedName name="SortRange" localSheetId="29">#REF!</definedName>
    <definedName name="SortRange" localSheetId="48">#REF!</definedName>
    <definedName name="SortRange" localSheetId="5">#REF!</definedName>
    <definedName name="SortRange" localSheetId="6">#REF!</definedName>
    <definedName name="SortRange">#REF!</definedName>
    <definedName name="Supp_Birth_I">'[3]SB Input'!$A$1</definedName>
    <definedName name="Supp2" localSheetId="24">#REF!</definedName>
    <definedName name="Supp2" localSheetId="25">#REF!</definedName>
    <definedName name="Supp2" localSheetId="29">#REF!</definedName>
    <definedName name="Supp2" localSheetId="48">#REF!</definedName>
    <definedName name="Supp2" localSheetId="5">#REF!</definedName>
    <definedName name="Supp2">#REF!</definedName>
    <definedName name="Supp4" localSheetId="24">#REF!</definedName>
    <definedName name="Supp4" localSheetId="25">#REF!</definedName>
    <definedName name="Supp4" localSheetId="29">#REF!</definedName>
    <definedName name="Supp4" localSheetId="48">#REF!</definedName>
    <definedName name="Supp4" localSheetId="5">#REF!</definedName>
    <definedName name="Supp4">#REF!</definedName>
    <definedName name="SUPPLEMENTAL_SCHEDULE_6" localSheetId="24">#REF!</definedName>
    <definedName name="SUPPLEMENTAL_SCHEDULE_6" localSheetId="25">#REF!</definedName>
    <definedName name="SUPPLEMENTAL_SCHEDULE_6" localSheetId="29">#REF!</definedName>
    <definedName name="SUPPLEMENTAL_SCHEDULE_6" localSheetId="48">#REF!</definedName>
    <definedName name="SUPPLEMENTAL_SCHEDULE_6" localSheetId="5">#REF!</definedName>
    <definedName name="SUPPLEMENTAL_SCHEDULE_6">#REF!</definedName>
    <definedName name="T_Bal">'[3]Expense TB'!$B$15:$DL$146</definedName>
    <definedName name="Titles" localSheetId="24">#REF!</definedName>
    <definedName name="Titles" localSheetId="25">#REF!</definedName>
    <definedName name="Titles" localSheetId="29">#REF!</definedName>
    <definedName name="Titles" localSheetId="48">#REF!</definedName>
    <definedName name="Titles" localSheetId="5">#REF!</definedName>
    <definedName name="Titles" localSheetId="6">#REF!</definedName>
    <definedName name="Titles">#REF!</definedName>
    <definedName name="TopSection" localSheetId="24">#REF!</definedName>
    <definedName name="TopSection" localSheetId="25">#REF!</definedName>
    <definedName name="TopSection" localSheetId="29">#REF!</definedName>
    <definedName name="TopSection" localSheetId="48">#REF!</definedName>
    <definedName name="TopSection" localSheetId="5">#REF!</definedName>
    <definedName name="TopSection" localSheetId="6">#REF!</definedName>
    <definedName name="TopSection">#REF!</definedName>
    <definedName name="ttl.salaries" localSheetId="24">#REF!</definedName>
    <definedName name="ttl.salaries" localSheetId="25">#REF!</definedName>
    <definedName name="ttl.salaries" localSheetId="29">#REF!</definedName>
    <definedName name="ttl.salaries" localSheetId="48">#REF!</definedName>
    <definedName name="ttl.salaries" localSheetId="5">#REF!</definedName>
    <definedName name="ttl.salaries" localSheetId="6">#REF!</definedName>
    <definedName name="ttl.salaries">#REF!</definedName>
    <definedName name="UMMC_DEAT" localSheetId="24">'[1]p8 CONS BS'!#REF!</definedName>
    <definedName name="UMMC_DEAT" localSheetId="25">'[1]p8 CONS BS'!#REF!</definedName>
    <definedName name="UMMC_DEAT" localSheetId="29">'[1]p8 CONS BS'!#REF!</definedName>
    <definedName name="UMMC_DEAT" localSheetId="48">'[1]p8 CONS BS'!#REF!</definedName>
    <definedName name="UMMC_DEAT" localSheetId="5">'[1]p8 CONS BS'!#REF!</definedName>
    <definedName name="UMMC_DEAT" localSheetId="6">'[1]p8 CONS BS'!#REF!</definedName>
    <definedName name="UMMC_DEAT">'[1]p8 CONS BS'!#REF!</definedName>
    <definedName name="UR_Rev_I" localSheetId="24">#REF!</definedName>
    <definedName name="UR_Rev_I" localSheetId="25">#REF!</definedName>
    <definedName name="UR_Rev_I" localSheetId="29">#REF!</definedName>
    <definedName name="UR_Rev_I" localSheetId="48">#REF!</definedName>
    <definedName name="UR_Rev_I" localSheetId="5">#REF!</definedName>
    <definedName name="UR_Rev_I" localSheetId="6">#REF!</definedName>
    <definedName name="UR_Rev_I">#REF!</definedName>
    <definedName name="URS_Schedule" localSheetId="24">#REF!</definedName>
    <definedName name="URS_Schedule" localSheetId="25">#REF!</definedName>
    <definedName name="URS_Schedule" localSheetId="29">#REF!</definedName>
    <definedName name="URS_Schedule" localSheetId="48">#REF!</definedName>
    <definedName name="URS_Schedule" localSheetId="5">#REF!</definedName>
    <definedName name="URS_Schedule" localSheetId="6">#REF!</definedName>
    <definedName name="URS_Schedule">#REF!</definedName>
  </definedNames>
  <calcPr calcId="152511"/>
</workbook>
</file>

<file path=xl/calcChain.xml><?xml version="1.0" encoding="utf-8"?>
<calcChain xmlns="http://schemas.openxmlformats.org/spreadsheetml/2006/main">
  <c r="D53" i="4" l="1"/>
  <c r="E53" i="4"/>
  <c r="F53" i="4"/>
  <c r="C53" i="4"/>
  <c r="K63" i="109" l="1"/>
  <c r="K62" i="109"/>
  <c r="K61" i="109"/>
  <c r="K60" i="109"/>
  <c r="K59" i="109"/>
  <c r="K58" i="109"/>
  <c r="K57" i="109"/>
  <c r="K56" i="109"/>
  <c r="K55" i="109"/>
  <c r="K54" i="109"/>
  <c r="L64" i="109" s="1"/>
  <c r="K53" i="109"/>
  <c r="K62" i="70"/>
  <c r="K61" i="70"/>
  <c r="K60" i="70"/>
  <c r="K59" i="70"/>
  <c r="K58" i="70"/>
  <c r="K57" i="70"/>
  <c r="K56" i="70"/>
  <c r="K55" i="70"/>
  <c r="K54" i="70"/>
  <c r="K53" i="70"/>
  <c r="K62" i="96"/>
  <c r="K61" i="96"/>
  <c r="K60" i="96"/>
  <c r="K59" i="96"/>
  <c r="K58" i="96"/>
  <c r="K57" i="96"/>
  <c r="K56" i="96"/>
  <c r="K55" i="96"/>
  <c r="K54" i="96"/>
  <c r="K53" i="96"/>
  <c r="K62" i="97"/>
  <c r="K61" i="97"/>
  <c r="K60" i="97"/>
  <c r="K59" i="97"/>
  <c r="K58" i="97"/>
  <c r="K57" i="97"/>
  <c r="K56" i="97"/>
  <c r="K55" i="97"/>
  <c r="K54" i="97"/>
  <c r="K53" i="97"/>
  <c r="K62" i="71"/>
  <c r="K61" i="71"/>
  <c r="K60" i="71"/>
  <c r="K59" i="71"/>
  <c r="K58" i="71"/>
  <c r="K57" i="71"/>
  <c r="K56" i="71"/>
  <c r="K55" i="71"/>
  <c r="K54" i="71"/>
  <c r="K53" i="71"/>
  <c r="K62" i="118"/>
  <c r="K61" i="118"/>
  <c r="K60" i="118"/>
  <c r="K59" i="118"/>
  <c r="K58" i="118"/>
  <c r="K57" i="118"/>
  <c r="K56" i="118"/>
  <c r="K55" i="118"/>
  <c r="K54" i="118"/>
  <c r="K53" i="118"/>
  <c r="K62" i="117"/>
  <c r="K61" i="117"/>
  <c r="K60" i="117"/>
  <c r="K59" i="117"/>
  <c r="K58" i="117"/>
  <c r="K57" i="117"/>
  <c r="K56" i="117"/>
  <c r="K55" i="117"/>
  <c r="K54" i="117"/>
  <c r="K53" i="117"/>
  <c r="K62" i="98"/>
  <c r="K61" i="98"/>
  <c r="K60" i="98"/>
  <c r="K59" i="98"/>
  <c r="K58" i="98"/>
  <c r="K57" i="98"/>
  <c r="K56" i="98"/>
  <c r="K55" i="98"/>
  <c r="K54" i="98"/>
  <c r="K53" i="98"/>
  <c r="K62" i="74"/>
  <c r="K61" i="74"/>
  <c r="K60" i="74"/>
  <c r="K59" i="74"/>
  <c r="K58" i="74"/>
  <c r="K57" i="74"/>
  <c r="K56" i="74"/>
  <c r="K55" i="74"/>
  <c r="K54" i="74"/>
  <c r="K53" i="74"/>
  <c r="K62" i="99"/>
  <c r="K61" i="99"/>
  <c r="K60" i="99"/>
  <c r="K59" i="99"/>
  <c r="K58" i="99"/>
  <c r="K57" i="99"/>
  <c r="K56" i="99"/>
  <c r="K55" i="99"/>
  <c r="K54" i="99"/>
  <c r="K53" i="99"/>
  <c r="K62" i="101"/>
  <c r="K61" i="101"/>
  <c r="K60" i="101"/>
  <c r="K59" i="101"/>
  <c r="K58" i="101"/>
  <c r="K57" i="101"/>
  <c r="K56" i="101"/>
  <c r="K55" i="101"/>
  <c r="K54" i="101"/>
  <c r="K53" i="101"/>
  <c r="K62" i="103"/>
  <c r="K61" i="103"/>
  <c r="K60" i="103"/>
  <c r="K59" i="103"/>
  <c r="K58" i="103"/>
  <c r="K57" i="103"/>
  <c r="K56" i="103"/>
  <c r="K55" i="103"/>
  <c r="K54" i="103"/>
  <c r="K53" i="103"/>
  <c r="K62" i="125"/>
  <c r="K61" i="125"/>
  <c r="K60" i="125"/>
  <c r="K59" i="125"/>
  <c r="K58" i="125"/>
  <c r="K57" i="125"/>
  <c r="K56" i="125"/>
  <c r="K55" i="125"/>
  <c r="K54" i="125"/>
  <c r="K64" i="125" s="1"/>
  <c r="K53" i="125"/>
  <c r="K62" i="119"/>
  <c r="K61" i="119"/>
  <c r="K60" i="119"/>
  <c r="K59" i="119"/>
  <c r="K58" i="119"/>
  <c r="K57" i="119"/>
  <c r="K56" i="119"/>
  <c r="K55" i="119"/>
  <c r="K54" i="119"/>
  <c r="K53" i="119"/>
  <c r="K64" i="119" s="1"/>
  <c r="K62" i="105"/>
  <c r="K61" i="105"/>
  <c r="K60" i="105"/>
  <c r="K59" i="105"/>
  <c r="K58" i="105"/>
  <c r="K57" i="105"/>
  <c r="K56" i="105"/>
  <c r="K55" i="105"/>
  <c r="K54" i="105"/>
  <c r="K53" i="105"/>
  <c r="K64" i="105" s="1"/>
  <c r="K62" i="115"/>
  <c r="K61" i="115"/>
  <c r="K60" i="115"/>
  <c r="K59" i="115"/>
  <c r="K58" i="115"/>
  <c r="K57" i="115"/>
  <c r="K56" i="115"/>
  <c r="K55" i="115"/>
  <c r="K54" i="115"/>
  <c r="K53" i="115"/>
  <c r="K64" i="115" s="1"/>
  <c r="K54" i="75"/>
  <c r="K55" i="75"/>
  <c r="K56" i="75"/>
  <c r="K57" i="75"/>
  <c r="K58" i="75"/>
  <c r="K59" i="75"/>
  <c r="K60" i="75"/>
  <c r="K61" i="75"/>
  <c r="K62" i="75"/>
  <c r="K53" i="75"/>
  <c r="K64" i="100"/>
  <c r="J64" i="100"/>
  <c r="I64" i="100"/>
  <c r="H64" i="100"/>
  <c r="K64" i="114"/>
  <c r="J64" i="114"/>
  <c r="I64" i="114"/>
  <c r="H64" i="114"/>
  <c r="J64" i="119"/>
  <c r="I64" i="119"/>
  <c r="H64" i="119"/>
  <c r="J64" i="105"/>
  <c r="I64" i="105"/>
  <c r="H64" i="105"/>
  <c r="J64" i="115"/>
  <c r="I64" i="115"/>
  <c r="H64" i="115"/>
  <c r="J64" i="75"/>
  <c r="I64" i="75"/>
  <c r="H64" i="75"/>
  <c r="K64" i="75"/>
  <c r="K64" i="124"/>
  <c r="K64" i="122"/>
  <c r="L120" i="75"/>
  <c r="I104" i="60"/>
  <c r="J104" i="60"/>
  <c r="K104" i="60"/>
  <c r="L104" i="60"/>
  <c r="J116" i="60"/>
  <c r="K116" i="60"/>
  <c r="L99" i="60"/>
  <c r="L100" i="60"/>
  <c r="L101" i="60"/>
  <c r="L102" i="60"/>
  <c r="L103" i="60"/>
  <c r="J101" i="60"/>
  <c r="K101" i="60"/>
  <c r="J102" i="60"/>
  <c r="K102" i="60"/>
  <c r="J103" i="60"/>
  <c r="K103" i="60"/>
  <c r="J99" i="60"/>
  <c r="K99" i="60"/>
  <c r="J100" i="60"/>
  <c r="K100" i="60"/>
  <c r="I101" i="60"/>
  <c r="I102" i="60"/>
  <c r="I103" i="60"/>
  <c r="I100" i="60"/>
  <c r="I99" i="60"/>
  <c r="H64" i="125"/>
  <c r="I22" i="60"/>
  <c r="C53" i="127" l="1"/>
  <c r="E53" i="3"/>
  <c r="D53" i="3"/>
  <c r="C53" i="3"/>
  <c r="C65" i="6" l="1"/>
  <c r="B65" i="6"/>
  <c r="D30" i="6"/>
  <c r="C30" i="6"/>
  <c r="B30" i="6"/>
  <c r="E40" i="6"/>
  <c r="D41" i="6"/>
  <c r="C41" i="6"/>
  <c r="B41" i="6"/>
  <c r="C5" i="127"/>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3" i="3"/>
  <c r="D5" i="3"/>
  <c r="E5" i="3" s="1"/>
  <c r="D4" i="3"/>
  <c r="C4" i="3"/>
  <c r="E4" i="3" s="1"/>
  <c r="E30" i="6" l="1"/>
  <c r="D65" i="6"/>
  <c r="C53" i="6" s="1"/>
  <c r="B53" i="6"/>
  <c r="B77" i="6"/>
  <c r="C77" i="6"/>
  <c r="H51" i="126"/>
  <c r="H49" i="126"/>
  <c r="H47" i="126"/>
  <c r="H46" i="126"/>
  <c r="H45" i="126"/>
  <c r="H44" i="126"/>
  <c r="H42" i="126"/>
  <c r="H41" i="126"/>
  <c r="F52" i="4"/>
  <c r="H52" i="126" s="1"/>
  <c r="F51" i="4"/>
  <c r="F50" i="4"/>
  <c r="H50" i="126" s="1"/>
  <c r="F49" i="4"/>
  <c r="F48" i="4"/>
  <c r="H48" i="126" s="1"/>
  <c r="F47" i="4"/>
  <c r="F46" i="4"/>
  <c r="F45" i="4"/>
  <c r="F44" i="4"/>
  <c r="F43" i="4"/>
  <c r="H43" i="126" s="1"/>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E5" i="4"/>
  <c r="D5" i="4"/>
  <c r="F5" i="4" s="1"/>
  <c r="D4" i="4"/>
  <c r="C4" i="4"/>
  <c r="F3" i="4"/>
  <c r="F4" i="4" l="1"/>
  <c r="J18" i="68" l="1"/>
  <c r="H18" i="68"/>
  <c r="K18" i="106" l="1"/>
  <c r="K18" i="125"/>
  <c r="K18" i="102"/>
  <c r="K18" i="96"/>
  <c r="K18" i="124"/>
  <c r="K18" i="79"/>
  <c r="K18" i="76"/>
  <c r="K18" i="67"/>
  <c r="J150" i="108" l="1"/>
  <c r="I150" i="108"/>
  <c r="H150" i="108"/>
  <c r="J149" i="108"/>
  <c r="F149" i="108"/>
  <c r="K148" i="108"/>
  <c r="G145" i="108"/>
  <c r="I144" i="108"/>
  <c r="H142" i="108"/>
  <c r="J141" i="108"/>
  <c r="F141" i="108"/>
  <c r="J137" i="108"/>
  <c r="I137" i="108"/>
  <c r="I149" i="108" s="1"/>
  <c r="H137" i="108"/>
  <c r="H149" i="108" s="1"/>
  <c r="G137" i="108"/>
  <c r="G149" i="108" s="1"/>
  <c r="F137" i="108"/>
  <c r="K135" i="108"/>
  <c r="K134" i="108"/>
  <c r="K133" i="108"/>
  <c r="K132" i="108"/>
  <c r="K131" i="108"/>
  <c r="K137" i="108" s="1"/>
  <c r="K149" i="108" s="1"/>
  <c r="F123" i="108"/>
  <c r="F127" i="108" s="1"/>
  <c r="F119" i="108"/>
  <c r="K108" i="108"/>
  <c r="K147" i="108" s="1"/>
  <c r="J108" i="108"/>
  <c r="J147" i="108" s="1"/>
  <c r="I108" i="108"/>
  <c r="I147" i="108" s="1"/>
  <c r="H108" i="108"/>
  <c r="H147" i="108" s="1"/>
  <c r="G108" i="108"/>
  <c r="G147" i="108" s="1"/>
  <c r="F108" i="108"/>
  <c r="F147" i="108" s="1"/>
  <c r="J98" i="108"/>
  <c r="J146" i="108" s="1"/>
  <c r="I98" i="108"/>
  <c r="I146" i="108" s="1"/>
  <c r="H98" i="108"/>
  <c r="H146" i="108" s="1"/>
  <c r="G98" i="108"/>
  <c r="G146" i="108" s="1"/>
  <c r="F98" i="108"/>
  <c r="F146" i="108" s="1"/>
  <c r="K96" i="108"/>
  <c r="K95" i="108"/>
  <c r="K94" i="108"/>
  <c r="K93" i="108"/>
  <c r="K92" i="108"/>
  <c r="K91" i="108"/>
  <c r="K90" i="108"/>
  <c r="K89" i="108"/>
  <c r="K88" i="108"/>
  <c r="K87" i="108"/>
  <c r="K86" i="108"/>
  <c r="K98" i="108" s="1"/>
  <c r="K146" i="108" s="1"/>
  <c r="J82" i="108"/>
  <c r="J145" i="108" s="1"/>
  <c r="I82" i="108"/>
  <c r="I145" i="108" s="1"/>
  <c r="H82" i="108"/>
  <c r="H145" i="108" s="1"/>
  <c r="G82" i="108"/>
  <c r="F82" i="108"/>
  <c r="F145" i="108" s="1"/>
  <c r="K80" i="108"/>
  <c r="K79" i="108"/>
  <c r="K78" i="108"/>
  <c r="K77" i="108"/>
  <c r="K82" i="108" s="1"/>
  <c r="K145" i="108" s="1"/>
  <c r="J74" i="108"/>
  <c r="J144" i="108" s="1"/>
  <c r="I74" i="108"/>
  <c r="H74" i="108"/>
  <c r="H144" i="108" s="1"/>
  <c r="G74" i="108"/>
  <c r="G144" i="108" s="1"/>
  <c r="F74" i="108"/>
  <c r="F144" i="108" s="1"/>
  <c r="K72" i="108"/>
  <c r="K71" i="108"/>
  <c r="K70" i="108"/>
  <c r="K69" i="108"/>
  <c r="K74" i="108" s="1"/>
  <c r="K144" i="108" s="1"/>
  <c r="K68" i="108"/>
  <c r="J64" i="108"/>
  <c r="J143" i="108" s="1"/>
  <c r="H64" i="108"/>
  <c r="H143" i="108" s="1"/>
  <c r="G64" i="108"/>
  <c r="G143" i="108" s="1"/>
  <c r="F64" i="108"/>
  <c r="F143" i="108" s="1"/>
  <c r="K61" i="108"/>
  <c r="I60" i="108"/>
  <c r="K60" i="108" s="1"/>
  <c r="K59" i="108"/>
  <c r="K58" i="108"/>
  <c r="I58" i="108"/>
  <c r="I57" i="108"/>
  <c r="K57" i="108" s="1"/>
  <c r="K56" i="108"/>
  <c r="I55" i="108"/>
  <c r="K55" i="108" s="1"/>
  <c r="I54" i="108"/>
  <c r="K54" i="108" s="1"/>
  <c r="K53" i="108"/>
  <c r="J49" i="108"/>
  <c r="J142" i="108" s="1"/>
  <c r="I49" i="108"/>
  <c r="I142" i="108" s="1"/>
  <c r="H49" i="108"/>
  <c r="G49" i="108"/>
  <c r="G142" i="108" s="1"/>
  <c r="F49" i="108"/>
  <c r="F142" i="108" s="1"/>
  <c r="K47" i="108"/>
  <c r="K46" i="108"/>
  <c r="K45" i="108"/>
  <c r="K44" i="108"/>
  <c r="K43" i="108"/>
  <c r="K42" i="108"/>
  <c r="K41" i="108"/>
  <c r="K40" i="108"/>
  <c r="K49" i="108" s="1"/>
  <c r="K142" i="108" s="1"/>
  <c r="J36" i="108"/>
  <c r="I36" i="108"/>
  <c r="I141" i="108" s="1"/>
  <c r="H36" i="108"/>
  <c r="H141" i="108" s="1"/>
  <c r="H152" i="108" s="1"/>
  <c r="G36" i="108"/>
  <c r="G141" i="108" s="1"/>
  <c r="F36" i="108"/>
  <c r="K34" i="108"/>
  <c r="K33" i="108"/>
  <c r="K32" i="108"/>
  <c r="K31" i="108"/>
  <c r="K30" i="108"/>
  <c r="K29" i="108"/>
  <c r="K28" i="108"/>
  <c r="K27" i="108"/>
  <c r="K26" i="108"/>
  <c r="K25" i="108"/>
  <c r="K24" i="108"/>
  <c r="K23" i="108"/>
  <c r="K22" i="108"/>
  <c r="K21" i="108"/>
  <c r="K36" i="108" s="1"/>
  <c r="K141" i="108" s="1"/>
  <c r="K18" i="108"/>
  <c r="K150" i="108" s="1"/>
  <c r="K152" i="108" l="1"/>
  <c r="J152" i="108"/>
  <c r="K64" i="108"/>
  <c r="K143" i="108" s="1"/>
  <c r="G152" i="108"/>
  <c r="F152" i="108"/>
  <c r="I64" i="108"/>
  <c r="I143" i="108" s="1"/>
  <c r="I152" i="108" s="1"/>
  <c r="J150" i="115"/>
  <c r="I150" i="115"/>
  <c r="H150" i="115"/>
  <c r="H149" i="115"/>
  <c r="K148" i="115"/>
  <c r="J146" i="115"/>
  <c r="F146" i="115"/>
  <c r="G143" i="115"/>
  <c r="J142" i="115"/>
  <c r="I142" i="115"/>
  <c r="F142" i="115"/>
  <c r="H141" i="115"/>
  <c r="G141" i="115"/>
  <c r="J137" i="115"/>
  <c r="J149" i="115" s="1"/>
  <c r="I137" i="115"/>
  <c r="I149" i="115" s="1"/>
  <c r="H137" i="115"/>
  <c r="G137" i="115"/>
  <c r="G149" i="115" s="1"/>
  <c r="F137" i="115"/>
  <c r="F149" i="115" s="1"/>
  <c r="K135" i="115"/>
  <c r="K134" i="115"/>
  <c r="K133" i="115"/>
  <c r="K132" i="115"/>
  <c r="K131" i="115"/>
  <c r="K137" i="115" s="1"/>
  <c r="K149" i="115" s="1"/>
  <c r="F119" i="115"/>
  <c r="F123" i="115" s="1"/>
  <c r="F127" i="115" s="1"/>
  <c r="J108" i="115"/>
  <c r="J147" i="115" s="1"/>
  <c r="H108" i="115"/>
  <c r="H147" i="115" s="1"/>
  <c r="G108" i="115"/>
  <c r="G147" i="115" s="1"/>
  <c r="F108" i="115"/>
  <c r="F147" i="115" s="1"/>
  <c r="I106" i="115"/>
  <c r="K106" i="115" s="1"/>
  <c r="K105" i="115"/>
  <c r="I105" i="115"/>
  <c r="I104" i="115"/>
  <c r="K104" i="115" s="1"/>
  <c r="K103" i="115"/>
  <c r="I103" i="115"/>
  <c r="I102" i="115"/>
  <c r="I108" i="115" s="1"/>
  <c r="I147" i="115" s="1"/>
  <c r="J98" i="115"/>
  <c r="H98" i="115"/>
  <c r="H146" i="115" s="1"/>
  <c r="G98" i="115"/>
  <c r="G146" i="115" s="1"/>
  <c r="F98" i="115"/>
  <c r="I96" i="115"/>
  <c r="K96" i="115" s="1"/>
  <c r="K95" i="115"/>
  <c r="I95" i="115"/>
  <c r="I94" i="115"/>
  <c r="K94" i="115" s="1"/>
  <c r="K93" i="115"/>
  <c r="I93" i="115"/>
  <c r="I92" i="115"/>
  <c r="K92" i="115" s="1"/>
  <c r="K91" i="115"/>
  <c r="I91" i="115"/>
  <c r="I90" i="115"/>
  <c r="K90" i="115" s="1"/>
  <c r="K89" i="115"/>
  <c r="I89" i="115"/>
  <c r="I88" i="115"/>
  <c r="K88" i="115" s="1"/>
  <c r="K87" i="115"/>
  <c r="I87" i="115"/>
  <c r="I86" i="115"/>
  <c r="I98" i="115" s="1"/>
  <c r="I146" i="115" s="1"/>
  <c r="J82" i="115"/>
  <c r="J145" i="115" s="1"/>
  <c r="I82" i="115"/>
  <c r="I145" i="115" s="1"/>
  <c r="H82" i="115"/>
  <c r="H145" i="115" s="1"/>
  <c r="G82" i="115"/>
  <c r="G145" i="115" s="1"/>
  <c r="F82" i="115"/>
  <c r="F145" i="115" s="1"/>
  <c r="K80" i="115"/>
  <c r="K79" i="115"/>
  <c r="K78" i="115"/>
  <c r="K82" i="115" s="1"/>
  <c r="K145" i="115" s="1"/>
  <c r="K77" i="115"/>
  <c r="J74" i="115"/>
  <c r="J144" i="115" s="1"/>
  <c r="I74" i="115"/>
  <c r="I144" i="115" s="1"/>
  <c r="H74" i="115"/>
  <c r="H144" i="115" s="1"/>
  <c r="G74" i="115"/>
  <c r="G144" i="115" s="1"/>
  <c r="F74" i="115"/>
  <c r="F144" i="115" s="1"/>
  <c r="K72" i="115"/>
  <c r="K71" i="115"/>
  <c r="K70" i="115"/>
  <c r="K69" i="115"/>
  <c r="K68" i="115"/>
  <c r="K74" i="115" s="1"/>
  <c r="K144" i="115" s="1"/>
  <c r="J143" i="115"/>
  <c r="I143" i="115"/>
  <c r="H143" i="115"/>
  <c r="G64" i="115"/>
  <c r="F64" i="115"/>
  <c r="F143" i="115" s="1"/>
  <c r="K143" i="115"/>
  <c r="J49" i="115"/>
  <c r="I49" i="115"/>
  <c r="H49" i="115"/>
  <c r="H142" i="115" s="1"/>
  <c r="G49" i="115"/>
  <c r="G142" i="115" s="1"/>
  <c r="F49" i="115"/>
  <c r="K47" i="115"/>
  <c r="K46" i="115"/>
  <c r="K45" i="115"/>
  <c r="K44" i="115"/>
  <c r="K43" i="115"/>
  <c r="K42" i="115"/>
  <c r="K41" i="115"/>
  <c r="K40" i="115"/>
  <c r="K49" i="115" s="1"/>
  <c r="K142" i="115" s="1"/>
  <c r="J36" i="115"/>
  <c r="J141" i="115" s="1"/>
  <c r="H36" i="115"/>
  <c r="G36" i="115"/>
  <c r="F36" i="115"/>
  <c r="F141" i="115" s="1"/>
  <c r="I34" i="115"/>
  <c r="K34" i="115" s="1"/>
  <c r="I33" i="115"/>
  <c r="K33" i="115" s="1"/>
  <c r="I32" i="115"/>
  <c r="K32" i="115" s="1"/>
  <c r="I31" i="115"/>
  <c r="K31" i="115" s="1"/>
  <c r="I30" i="115"/>
  <c r="K30" i="115" s="1"/>
  <c r="K29" i="115"/>
  <c r="K28" i="115"/>
  <c r="I28" i="115"/>
  <c r="I27" i="115"/>
  <c r="K27" i="115" s="1"/>
  <c r="K26" i="115"/>
  <c r="I26" i="115"/>
  <c r="I25" i="115"/>
  <c r="K25" i="115" s="1"/>
  <c r="K24" i="115"/>
  <c r="I24" i="115"/>
  <c r="I23" i="115"/>
  <c r="K23" i="115" s="1"/>
  <c r="K22" i="115"/>
  <c r="I22" i="115"/>
  <c r="I21" i="115"/>
  <c r="I36" i="115" s="1"/>
  <c r="I141" i="115" s="1"/>
  <c r="I152" i="115" s="1"/>
  <c r="K18" i="115"/>
  <c r="K150" i="115" s="1"/>
  <c r="F155" i="108" l="1"/>
  <c r="F154" i="108"/>
  <c r="H152" i="115"/>
  <c r="J152" i="115"/>
  <c r="F152" i="115"/>
  <c r="G152" i="115"/>
  <c r="K21" i="115"/>
  <c r="K36" i="115" s="1"/>
  <c r="K141" i="115" s="1"/>
  <c r="K86" i="115"/>
  <c r="K98" i="115" s="1"/>
  <c r="K146" i="115" s="1"/>
  <c r="K102" i="115"/>
  <c r="K108" i="115" s="1"/>
  <c r="K147" i="115" s="1"/>
  <c r="K152" i="115" l="1"/>
  <c r="F155" i="115" l="1"/>
  <c r="F154" i="115"/>
  <c r="J150" i="110" l="1"/>
  <c r="I150" i="110"/>
  <c r="H150" i="110"/>
  <c r="J149" i="110"/>
  <c r="H149" i="110"/>
  <c r="F149" i="110"/>
  <c r="K148" i="110"/>
  <c r="G147" i="110"/>
  <c r="G145" i="110"/>
  <c r="I144" i="110"/>
  <c r="G143" i="110"/>
  <c r="I142" i="110"/>
  <c r="G141" i="110"/>
  <c r="J137" i="110"/>
  <c r="I137" i="110"/>
  <c r="I149" i="110" s="1"/>
  <c r="H137" i="110"/>
  <c r="G137" i="110"/>
  <c r="G149" i="110" s="1"/>
  <c r="F137" i="110"/>
  <c r="K135" i="110"/>
  <c r="K134" i="110"/>
  <c r="K133" i="110"/>
  <c r="K132" i="110"/>
  <c r="K131" i="110"/>
  <c r="K137" i="110" s="1"/>
  <c r="K149" i="110" s="1"/>
  <c r="F119" i="110"/>
  <c r="J108" i="110"/>
  <c r="J147" i="110" s="1"/>
  <c r="H108" i="110"/>
  <c r="H147" i="110" s="1"/>
  <c r="G108" i="110"/>
  <c r="F108" i="110"/>
  <c r="F147" i="110" s="1"/>
  <c r="K106" i="110"/>
  <c r="I106" i="110"/>
  <c r="K105" i="110"/>
  <c r="I104" i="110"/>
  <c r="I108" i="110" s="1"/>
  <c r="I147" i="110" s="1"/>
  <c r="I103" i="110"/>
  <c r="K103" i="110" s="1"/>
  <c r="K102" i="110"/>
  <c r="J98" i="110"/>
  <c r="J146" i="110" s="1"/>
  <c r="H98" i="110"/>
  <c r="H146" i="110" s="1"/>
  <c r="G98" i="110"/>
  <c r="G146" i="110" s="1"/>
  <c r="F98" i="110"/>
  <c r="F146" i="110" s="1"/>
  <c r="K96" i="110"/>
  <c r="I96" i="110"/>
  <c r="K95" i="110"/>
  <c r="I95" i="110"/>
  <c r="K94" i="110"/>
  <c r="I94" i="110"/>
  <c r="K93" i="110"/>
  <c r="I92" i="110"/>
  <c r="K92" i="110" s="1"/>
  <c r="K91" i="110"/>
  <c r="K90" i="110"/>
  <c r="I90" i="110"/>
  <c r="K89" i="110"/>
  <c r="I89" i="110"/>
  <c r="K88" i="110"/>
  <c r="I87" i="110"/>
  <c r="K87" i="110" s="1"/>
  <c r="I86" i="110"/>
  <c r="I98" i="110" s="1"/>
  <c r="I146" i="110" s="1"/>
  <c r="J82" i="110"/>
  <c r="J145" i="110" s="1"/>
  <c r="I82" i="110"/>
  <c r="I145" i="110" s="1"/>
  <c r="H82" i="110"/>
  <c r="H145" i="110" s="1"/>
  <c r="G82" i="110"/>
  <c r="F82" i="110"/>
  <c r="F145" i="110" s="1"/>
  <c r="K80" i="110"/>
  <c r="K79" i="110"/>
  <c r="K78" i="110"/>
  <c r="K77" i="110"/>
  <c r="K82" i="110" s="1"/>
  <c r="K145" i="110" s="1"/>
  <c r="J74" i="110"/>
  <c r="J144" i="110" s="1"/>
  <c r="I74" i="110"/>
  <c r="H74" i="110"/>
  <c r="H144" i="110" s="1"/>
  <c r="G74" i="110"/>
  <c r="G144" i="110" s="1"/>
  <c r="F74" i="110"/>
  <c r="F144" i="110" s="1"/>
  <c r="K72" i="110"/>
  <c r="K71" i="110"/>
  <c r="K70" i="110"/>
  <c r="K69" i="110"/>
  <c r="K68" i="110"/>
  <c r="K74" i="110" s="1"/>
  <c r="K144" i="110" s="1"/>
  <c r="I64" i="110"/>
  <c r="I143" i="110" s="1"/>
  <c r="G64" i="110"/>
  <c r="F64" i="110"/>
  <c r="F143" i="110" s="1"/>
  <c r="K62" i="110"/>
  <c r="K61" i="110"/>
  <c r="J60" i="110"/>
  <c r="K60" i="110" s="1"/>
  <c r="K59" i="110"/>
  <c r="K58" i="110"/>
  <c r="J57" i="110"/>
  <c r="H57" i="110"/>
  <c r="J56" i="110"/>
  <c r="K56" i="110" s="1"/>
  <c r="K55" i="110"/>
  <c r="J54" i="110"/>
  <c r="H54" i="110"/>
  <c r="K53" i="110"/>
  <c r="J49" i="110"/>
  <c r="J142" i="110" s="1"/>
  <c r="I49" i="110"/>
  <c r="H49" i="110"/>
  <c r="H142" i="110" s="1"/>
  <c r="G49" i="110"/>
  <c r="G142" i="110" s="1"/>
  <c r="F49" i="110"/>
  <c r="F142" i="110" s="1"/>
  <c r="K47" i="110"/>
  <c r="K46" i="110"/>
  <c r="K45" i="110"/>
  <c r="K44" i="110"/>
  <c r="K43" i="110"/>
  <c r="K42" i="110"/>
  <c r="K41" i="110"/>
  <c r="K49" i="110" s="1"/>
  <c r="K142" i="110" s="1"/>
  <c r="K40" i="110"/>
  <c r="J36" i="110"/>
  <c r="J141" i="110" s="1"/>
  <c r="I36" i="110"/>
  <c r="I141" i="110" s="1"/>
  <c r="H36" i="110"/>
  <c r="H141" i="110" s="1"/>
  <c r="G36" i="110"/>
  <c r="F36" i="110"/>
  <c r="F141" i="110" s="1"/>
  <c r="K34" i="110"/>
  <c r="I34" i="110"/>
  <c r="K33" i="110"/>
  <c r="I33" i="110"/>
  <c r="K32" i="110"/>
  <c r="I32" i="110"/>
  <c r="K31" i="110"/>
  <c r="I31" i="110"/>
  <c r="K30" i="110"/>
  <c r="I30" i="110"/>
  <c r="K29" i="110"/>
  <c r="K28" i="110"/>
  <c r="K27" i="110"/>
  <c r="I27" i="110"/>
  <c r="K26" i="110"/>
  <c r="I26" i="110"/>
  <c r="K25" i="110"/>
  <c r="I24" i="110"/>
  <c r="K24" i="110" s="1"/>
  <c r="K23" i="110"/>
  <c r="K22" i="110"/>
  <c r="K21" i="110"/>
  <c r="K18" i="110"/>
  <c r="K150" i="110" s="1"/>
  <c r="K54" i="110" l="1"/>
  <c r="K64" i="110" s="1"/>
  <c r="K143" i="110" s="1"/>
  <c r="K57" i="110"/>
  <c r="J64" i="110"/>
  <c r="J143" i="110" s="1"/>
  <c r="J152" i="110" s="1"/>
  <c r="H64" i="110"/>
  <c r="H143" i="110" s="1"/>
  <c r="H152" i="110" s="1"/>
  <c r="I152" i="110"/>
  <c r="K108" i="110"/>
  <c r="K147" i="110" s="1"/>
  <c r="G152" i="110"/>
  <c r="K36" i="110"/>
  <c r="K141" i="110" s="1"/>
  <c r="F152" i="110"/>
  <c r="K86" i="110"/>
  <c r="K98" i="110" s="1"/>
  <c r="K146" i="110" s="1"/>
  <c r="K104" i="110"/>
  <c r="K152" i="110" l="1"/>
  <c r="F155" i="110" l="1"/>
  <c r="F154" i="110"/>
  <c r="I150" i="122" l="1"/>
  <c r="H150" i="122"/>
  <c r="I149" i="122"/>
  <c r="K148" i="122"/>
  <c r="J137" i="122"/>
  <c r="J149" i="122" s="1"/>
  <c r="H137" i="122"/>
  <c r="H149" i="122" s="1"/>
  <c r="G137" i="122"/>
  <c r="G149" i="122" s="1"/>
  <c r="F137" i="122"/>
  <c r="F149" i="122" s="1"/>
  <c r="K135" i="122"/>
  <c r="K134" i="122"/>
  <c r="K133" i="122"/>
  <c r="K132" i="122"/>
  <c r="K131" i="122"/>
  <c r="F125" i="122"/>
  <c r="F123" i="122"/>
  <c r="F118" i="122"/>
  <c r="J108" i="122"/>
  <c r="J147" i="122" s="1"/>
  <c r="G108" i="122"/>
  <c r="G147" i="122" s="1"/>
  <c r="F108" i="122"/>
  <c r="F147" i="122" s="1"/>
  <c r="I106" i="122"/>
  <c r="K106" i="122" s="1"/>
  <c r="I105" i="122"/>
  <c r="K105" i="122" s="1"/>
  <c r="I104" i="122"/>
  <c r="K104" i="122" s="1"/>
  <c r="I103" i="122"/>
  <c r="K103" i="122" s="1"/>
  <c r="H102" i="122"/>
  <c r="J98" i="122"/>
  <c r="J146" i="122" s="1"/>
  <c r="H98" i="122"/>
  <c r="H146" i="122" s="1"/>
  <c r="G98" i="122"/>
  <c r="G146" i="122" s="1"/>
  <c r="F98" i="122"/>
  <c r="F146" i="122" s="1"/>
  <c r="I96" i="122"/>
  <c r="K96" i="122" s="1"/>
  <c r="I95" i="122"/>
  <c r="K95" i="122" s="1"/>
  <c r="I94" i="122"/>
  <c r="K94" i="122" s="1"/>
  <c r="I93" i="122"/>
  <c r="K93" i="122" s="1"/>
  <c r="I92" i="122"/>
  <c r="K92" i="122" s="1"/>
  <c r="I91" i="122"/>
  <c r="K91" i="122" s="1"/>
  <c r="I90" i="122"/>
  <c r="K90" i="122" s="1"/>
  <c r="I89" i="122"/>
  <c r="K89" i="122" s="1"/>
  <c r="I88" i="122"/>
  <c r="K88" i="122" s="1"/>
  <c r="I87" i="122"/>
  <c r="K87" i="122" s="1"/>
  <c r="I86" i="122"/>
  <c r="J82" i="122"/>
  <c r="J145" i="122" s="1"/>
  <c r="I82" i="122"/>
  <c r="I145" i="122" s="1"/>
  <c r="H82" i="122"/>
  <c r="H145" i="122" s="1"/>
  <c r="G82" i="122"/>
  <c r="G145" i="122" s="1"/>
  <c r="F82" i="122"/>
  <c r="F145" i="122" s="1"/>
  <c r="K80" i="122"/>
  <c r="K79" i="122"/>
  <c r="K78" i="122"/>
  <c r="K77" i="122"/>
  <c r="J74" i="122"/>
  <c r="J144" i="122" s="1"/>
  <c r="I74" i="122"/>
  <c r="I144" i="122" s="1"/>
  <c r="H74" i="122"/>
  <c r="H144" i="122" s="1"/>
  <c r="G74" i="122"/>
  <c r="G144" i="122" s="1"/>
  <c r="F74" i="122"/>
  <c r="F144" i="122" s="1"/>
  <c r="K72" i="122"/>
  <c r="K71" i="122"/>
  <c r="K70" i="122"/>
  <c r="K69" i="122"/>
  <c r="K68" i="122"/>
  <c r="I64" i="122"/>
  <c r="I143" i="122" s="1"/>
  <c r="H64" i="122"/>
  <c r="H143" i="122" s="1"/>
  <c r="G64" i="122"/>
  <c r="G143" i="122" s="1"/>
  <c r="F64" i="122"/>
  <c r="F143" i="122" s="1"/>
  <c r="K59" i="122"/>
  <c r="K58" i="122"/>
  <c r="K57" i="122"/>
  <c r="K56" i="122"/>
  <c r="K55" i="122"/>
  <c r="J54" i="122"/>
  <c r="J64" i="122" s="1"/>
  <c r="J143" i="122" s="1"/>
  <c r="K53" i="122"/>
  <c r="J49" i="122"/>
  <c r="J142" i="122" s="1"/>
  <c r="H49" i="122"/>
  <c r="H142" i="122" s="1"/>
  <c r="G49" i="122"/>
  <c r="G142" i="122" s="1"/>
  <c r="F49" i="122"/>
  <c r="F142" i="122" s="1"/>
  <c r="K47" i="122"/>
  <c r="K46" i="122"/>
  <c r="K45" i="122"/>
  <c r="I44" i="122"/>
  <c r="K44" i="122" s="1"/>
  <c r="I43" i="122"/>
  <c r="K43" i="122" s="1"/>
  <c r="I42" i="122"/>
  <c r="K42" i="122" s="1"/>
  <c r="I41" i="122"/>
  <c r="K41" i="122" s="1"/>
  <c r="I40" i="122"/>
  <c r="J36" i="122"/>
  <c r="J141" i="122" s="1"/>
  <c r="H36" i="122"/>
  <c r="H141" i="122" s="1"/>
  <c r="G36" i="122"/>
  <c r="G141" i="122" s="1"/>
  <c r="F36" i="122"/>
  <c r="F141" i="122" s="1"/>
  <c r="I34" i="122"/>
  <c r="K34" i="122" s="1"/>
  <c r="I33" i="122"/>
  <c r="K33" i="122" s="1"/>
  <c r="I32" i="122"/>
  <c r="K32" i="122" s="1"/>
  <c r="I31" i="122"/>
  <c r="K31" i="122" s="1"/>
  <c r="I30" i="122"/>
  <c r="K30" i="122" s="1"/>
  <c r="I29" i="122"/>
  <c r="K29" i="122" s="1"/>
  <c r="I28" i="122"/>
  <c r="K28" i="122" s="1"/>
  <c r="I27" i="122"/>
  <c r="K27" i="122" s="1"/>
  <c r="I26" i="122"/>
  <c r="K26" i="122" s="1"/>
  <c r="I25" i="122"/>
  <c r="K25" i="122" s="1"/>
  <c r="I24" i="122"/>
  <c r="K24" i="122" s="1"/>
  <c r="I23" i="122"/>
  <c r="K23" i="122" s="1"/>
  <c r="I22" i="122"/>
  <c r="K22" i="122" s="1"/>
  <c r="I21" i="122"/>
  <c r="K21" i="122" s="1"/>
  <c r="K18" i="122"/>
  <c r="K150" i="122" s="1"/>
  <c r="J150" i="122"/>
  <c r="I98" i="122" l="1"/>
  <c r="I146" i="122" s="1"/>
  <c r="K82" i="122"/>
  <c r="K145" i="122" s="1"/>
  <c r="F127" i="122"/>
  <c r="K74" i="122"/>
  <c r="K144" i="122" s="1"/>
  <c r="I36" i="122"/>
  <c r="I141" i="122" s="1"/>
  <c r="I49" i="122"/>
  <c r="I142" i="122" s="1"/>
  <c r="K137" i="122"/>
  <c r="K149" i="122" s="1"/>
  <c r="K40" i="122"/>
  <c r="K49" i="122" s="1"/>
  <c r="K142" i="122" s="1"/>
  <c r="K54" i="122"/>
  <c r="K143" i="122" s="1"/>
  <c r="G152" i="122"/>
  <c r="K36" i="122"/>
  <c r="K141" i="122" s="1"/>
  <c r="F152" i="122"/>
  <c r="J152" i="122"/>
  <c r="K86" i="122"/>
  <c r="K98" i="122" s="1"/>
  <c r="K146" i="122" s="1"/>
  <c r="I102" i="122"/>
  <c r="I108" i="122" s="1"/>
  <c r="I147" i="122" s="1"/>
  <c r="H108" i="122"/>
  <c r="H147" i="122" s="1"/>
  <c r="H152" i="122" s="1"/>
  <c r="I152" i="122" l="1"/>
  <c r="K102" i="122"/>
  <c r="K108" i="122" s="1"/>
  <c r="K147" i="122" s="1"/>
  <c r="K152" i="122" s="1"/>
  <c r="F20" i="126" l="1"/>
  <c r="F155" i="122"/>
  <c r="F154" i="122"/>
  <c r="J150" i="98" l="1"/>
  <c r="I150" i="98"/>
  <c r="H150" i="98"/>
  <c r="I149" i="98"/>
  <c r="H149" i="98"/>
  <c r="K148" i="98"/>
  <c r="J146" i="98"/>
  <c r="F146" i="98"/>
  <c r="H143" i="98"/>
  <c r="H141" i="98"/>
  <c r="J137" i="98"/>
  <c r="J149" i="98" s="1"/>
  <c r="I137" i="98"/>
  <c r="H137" i="98"/>
  <c r="G137" i="98"/>
  <c r="G149" i="98" s="1"/>
  <c r="F137" i="98"/>
  <c r="F149" i="98" s="1"/>
  <c r="K135" i="98"/>
  <c r="K134" i="98"/>
  <c r="K133" i="98"/>
  <c r="K132" i="98"/>
  <c r="K131" i="98"/>
  <c r="K137" i="98" s="1"/>
  <c r="K149" i="98" s="1"/>
  <c r="F119" i="98"/>
  <c r="F123" i="98" s="1"/>
  <c r="F127" i="98" s="1"/>
  <c r="J108" i="98"/>
  <c r="J147" i="98" s="1"/>
  <c r="H108" i="98"/>
  <c r="H147" i="98" s="1"/>
  <c r="G108" i="98"/>
  <c r="G147" i="98" s="1"/>
  <c r="F108" i="98"/>
  <c r="F147" i="98" s="1"/>
  <c r="I106" i="98"/>
  <c r="K106" i="98" s="1"/>
  <c r="K105" i="98"/>
  <c r="I105" i="98"/>
  <c r="I104" i="98"/>
  <c r="K104" i="98" s="1"/>
  <c r="K103" i="98"/>
  <c r="I103" i="98"/>
  <c r="I102" i="98"/>
  <c r="I108" i="98" s="1"/>
  <c r="I147" i="98" s="1"/>
  <c r="J98" i="98"/>
  <c r="H98" i="98"/>
  <c r="H146" i="98" s="1"/>
  <c r="G98" i="98"/>
  <c r="G146" i="98" s="1"/>
  <c r="F98" i="98"/>
  <c r="I96" i="98"/>
  <c r="K96" i="98" s="1"/>
  <c r="K95" i="98"/>
  <c r="I95" i="98"/>
  <c r="I94" i="98"/>
  <c r="K94" i="98" s="1"/>
  <c r="K93" i="98"/>
  <c r="I93" i="98"/>
  <c r="I92" i="98"/>
  <c r="K92" i="98" s="1"/>
  <c r="K91" i="98"/>
  <c r="I91" i="98"/>
  <c r="I90" i="98"/>
  <c r="K90" i="98" s="1"/>
  <c r="K89" i="98"/>
  <c r="I89" i="98"/>
  <c r="I88" i="98"/>
  <c r="K88" i="98" s="1"/>
  <c r="K87" i="98"/>
  <c r="I87" i="98"/>
  <c r="I86" i="98"/>
  <c r="I98" i="98" s="1"/>
  <c r="I146" i="98" s="1"/>
  <c r="J82" i="98"/>
  <c r="J145" i="98" s="1"/>
  <c r="I82" i="98"/>
  <c r="I145" i="98" s="1"/>
  <c r="H82" i="98"/>
  <c r="H145" i="98" s="1"/>
  <c r="G82" i="98"/>
  <c r="G145" i="98" s="1"/>
  <c r="F82" i="98"/>
  <c r="F145" i="98" s="1"/>
  <c r="K80" i="98"/>
  <c r="K79" i="98"/>
  <c r="K78" i="98"/>
  <c r="K82" i="98" s="1"/>
  <c r="K145" i="98" s="1"/>
  <c r="K77" i="98"/>
  <c r="J74" i="98"/>
  <c r="J144" i="98" s="1"/>
  <c r="I74" i="98"/>
  <c r="I144" i="98" s="1"/>
  <c r="H74" i="98"/>
  <c r="H144" i="98" s="1"/>
  <c r="G74" i="98"/>
  <c r="G144" i="98" s="1"/>
  <c r="F74" i="98"/>
  <c r="F144" i="98" s="1"/>
  <c r="K72" i="98"/>
  <c r="K71" i="98"/>
  <c r="K70" i="98"/>
  <c r="K69" i="98"/>
  <c r="K68" i="98"/>
  <c r="K74" i="98" s="1"/>
  <c r="K144" i="98" s="1"/>
  <c r="J64" i="98"/>
  <c r="J143" i="98" s="1"/>
  <c r="I64" i="98"/>
  <c r="I143" i="98" s="1"/>
  <c r="H64" i="98"/>
  <c r="G64" i="98"/>
  <c r="G143" i="98" s="1"/>
  <c r="F64" i="98"/>
  <c r="F143" i="98" s="1"/>
  <c r="I62" i="98"/>
  <c r="K64" i="98"/>
  <c r="K143" i="98" s="1"/>
  <c r="J49" i="98"/>
  <c r="J142" i="98" s="1"/>
  <c r="H49" i="98"/>
  <c r="H142" i="98" s="1"/>
  <c r="G49" i="98"/>
  <c r="G142" i="98" s="1"/>
  <c r="F49" i="98"/>
  <c r="F142" i="98" s="1"/>
  <c r="K47" i="98"/>
  <c r="K46" i="98"/>
  <c r="K45" i="98"/>
  <c r="K44" i="98"/>
  <c r="I44" i="98"/>
  <c r="K43" i="98"/>
  <c r="I43" i="98"/>
  <c r="K42" i="98"/>
  <c r="I42" i="98"/>
  <c r="K41" i="98"/>
  <c r="I41" i="98"/>
  <c r="K40" i="98"/>
  <c r="K49" i="98" s="1"/>
  <c r="K142" i="98" s="1"/>
  <c r="I40" i="98"/>
  <c r="I49" i="98" s="1"/>
  <c r="I142" i="98" s="1"/>
  <c r="J36" i="98"/>
  <c r="J141" i="98" s="1"/>
  <c r="H36" i="98"/>
  <c r="G36" i="98"/>
  <c r="G141" i="98" s="1"/>
  <c r="F36" i="98"/>
  <c r="F141" i="98" s="1"/>
  <c r="F152" i="98" s="1"/>
  <c r="K34" i="98"/>
  <c r="I34" i="98"/>
  <c r="K33" i="98"/>
  <c r="I33" i="98"/>
  <c r="K32" i="98"/>
  <c r="I32" i="98"/>
  <c r="K31" i="98"/>
  <c r="I31" i="98"/>
  <c r="K30" i="98"/>
  <c r="I30" i="98"/>
  <c r="K29" i="98"/>
  <c r="I28" i="98"/>
  <c r="K28" i="98" s="1"/>
  <c r="K27" i="98"/>
  <c r="I27" i="98"/>
  <c r="I26" i="98"/>
  <c r="K26" i="98" s="1"/>
  <c r="K25" i="98"/>
  <c r="I25" i="98"/>
  <c r="I24" i="98"/>
  <c r="K24" i="98" s="1"/>
  <c r="K23" i="98"/>
  <c r="I23" i="98"/>
  <c r="I22" i="98"/>
  <c r="K22" i="98" s="1"/>
  <c r="K21" i="98"/>
  <c r="I21" i="98"/>
  <c r="K18" i="98"/>
  <c r="K150" i="98" s="1"/>
  <c r="G152" i="98" l="1"/>
  <c r="K36" i="98"/>
  <c r="K141" i="98" s="1"/>
  <c r="H152" i="98"/>
  <c r="J152" i="98"/>
  <c r="I36" i="98"/>
  <c r="I141" i="98" s="1"/>
  <c r="I152" i="98" s="1"/>
  <c r="K86" i="98"/>
  <c r="K98" i="98" s="1"/>
  <c r="K146" i="98" s="1"/>
  <c r="K102" i="98"/>
  <c r="K108" i="98" s="1"/>
  <c r="K147" i="98" s="1"/>
  <c r="K152" i="98" l="1"/>
  <c r="F155" i="98" l="1"/>
  <c r="F154" i="98"/>
  <c r="E11" i="126" l="1"/>
  <c r="J150" i="107" l="1"/>
  <c r="I150" i="107"/>
  <c r="H150" i="107"/>
  <c r="I149" i="107"/>
  <c r="K148" i="107"/>
  <c r="J146" i="107"/>
  <c r="F146" i="107"/>
  <c r="J145" i="107"/>
  <c r="I145" i="107"/>
  <c r="H145" i="107"/>
  <c r="F145" i="107"/>
  <c r="J144" i="107"/>
  <c r="H144" i="107"/>
  <c r="G144" i="107"/>
  <c r="F144" i="107"/>
  <c r="J142" i="107"/>
  <c r="G142" i="107"/>
  <c r="F142" i="107"/>
  <c r="I141" i="107"/>
  <c r="H141" i="107"/>
  <c r="J137" i="107"/>
  <c r="J149" i="107" s="1"/>
  <c r="I137" i="107"/>
  <c r="H137" i="107"/>
  <c r="H149" i="107" s="1"/>
  <c r="G137" i="107"/>
  <c r="G149" i="107" s="1"/>
  <c r="F137" i="107"/>
  <c r="F149" i="107" s="1"/>
  <c r="K135" i="107"/>
  <c r="K134" i="107"/>
  <c r="K133" i="107"/>
  <c r="K132" i="107"/>
  <c r="K137" i="107" s="1"/>
  <c r="K149" i="107" s="1"/>
  <c r="K131" i="107"/>
  <c r="F119" i="107"/>
  <c r="F123" i="107" s="1"/>
  <c r="F127" i="107" s="1"/>
  <c r="J108" i="107"/>
  <c r="J147" i="107" s="1"/>
  <c r="I108" i="107"/>
  <c r="I147" i="107" s="1"/>
  <c r="H108" i="107"/>
  <c r="H147" i="107" s="1"/>
  <c r="G108" i="107"/>
  <c r="G147" i="107" s="1"/>
  <c r="F108" i="107"/>
  <c r="F147" i="107" s="1"/>
  <c r="K106" i="107"/>
  <c r="K105" i="107"/>
  <c r="K104" i="107"/>
  <c r="K103" i="107"/>
  <c r="K102" i="107"/>
  <c r="K108" i="107" s="1"/>
  <c r="K147" i="107" s="1"/>
  <c r="J98" i="107"/>
  <c r="I98" i="107"/>
  <c r="I146" i="107" s="1"/>
  <c r="H98" i="107"/>
  <c r="H146" i="107" s="1"/>
  <c r="G98" i="107"/>
  <c r="G146" i="107" s="1"/>
  <c r="F98" i="107"/>
  <c r="K96" i="107"/>
  <c r="K95" i="107"/>
  <c r="K94" i="107"/>
  <c r="K93" i="107"/>
  <c r="K91" i="107"/>
  <c r="K90" i="107"/>
  <c r="K89" i="107"/>
  <c r="K98" i="107" s="1"/>
  <c r="K146" i="107" s="1"/>
  <c r="K88" i="107"/>
  <c r="K87" i="107"/>
  <c r="K86" i="107"/>
  <c r="J82" i="107"/>
  <c r="I82" i="107"/>
  <c r="H82" i="107"/>
  <c r="G82" i="107"/>
  <c r="G145" i="107" s="1"/>
  <c r="F82" i="107"/>
  <c r="K80" i="107"/>
  <c r="K79" i="107"/>
  <c r="K78" i="107"/>
  <c r="K82" i="107" s="1"/>
  <c r="K145" i="107" s="1"/>
  <c r="K77" i="107"/>
  <c r="J74" i="107"/>
  <c r="I74" i="107"/>
  <c r="I144" i="107" s="1"/>
  <c r="H74" i="107"/>
  <c r="G74" i="107"/>
  <c r="F74" i="107"/>
  <c r="K72" i="107"/>
  <c r="K71" i="107"/>
  <c r="K70" i="107"/>
  <c r="K69" i="107"/>
  <c r="K68" i="107"/>
  <c r="K74" i="107" s="1"/>
  <c r="K144" i="107" s="1"/>
  <c r="J64" i="107"/>
  <c r="J143" i="107" s="1"/>
  <c r="H64" i="107"/>
  <c r="H143" i="107" s="1"/>
  <c r="G64" i="107"/>
  <c r="G143" i="107" s="1"/>
  <c r="F64" i="107"/>
  <c r="F143" i="107" s="1"/>
  <c r="K62" i="107"/>
  <c r="K61" i="107"/>
  <c r="I60" i="107"/>
  <c r="K60" i="107" s="1"/>
  <c r="K59" i="107"/>
  <c r="K58" i="107"/>
  <c r="K57" i="107"/>
  <c r="I56" i="107"/>
  <c r="K56" i="107" s="1"/>
  <c r="K55" i="107"/>
  <c r="I55" i="107"/>
  <c r="I54" i="107"/>
  <c r="K54" i="107" s="1"/>
  <c r="K53" i="107"/>
  <c r="K64" i="107" s="1"/>
  <c r="K143" i="107" s="1"/>
  <c r="J49" i="107"/>
  <c r="I49" i="107"/>
  <c r="I142" i="107" s="1"/>
  <c r="H49" i="107"/>
  <c r="H142" i="107" s="1"/>
  <c r="G49" i="107"/>
  <c r="F49" i="107"/>
  <c r="K47" i="107"/>
  <c r="K46" i="107"/>
  <c r="K45" i="107"/>
  <c r="K44" i="107"/>
  <c r="K43" i="107"/>
  <c r="K42" i="107"/>
  <c r="K41" i="107"/>
  <c r="K40" i="107"/>
  <c r="K49" i="107" s="1"/>
  <c r="K142" i="107" s="1"/>
  <c r="J36" i="107"/>
  <c r="J141" i="107" s="1"/>
  <c r="J152" i="107" s="1"/>
  <c r="I36" i="107"/>
  <c r="H36" i="107"/>
  <c r="G36" i="107"/>
  <c r="G141" i="107" s="1"/>
  <c r="F36" i="107"/>
  <c r="F141" i="107" s="1"/>
  <c r="F152" i="107" s="1"/>
  <c r="K34" i="107"/>
  <c r="K33" i="107"/>
  <c r="K32" i="107"/>
  <c r="K31" i="107"/>
  <c r="K30" i="107"/>
  <c r="K29" i="107"/>
  <c r="K28" i="107"/>
  <c r="K27" i="107"/>
  <c r="K26" i="107"/>
  <c r="K25" i="107"/>
  <c r="K24" i="107"/>
  <c r="K23" i="107"/>
  <c r="K36" i="107" s="1"/>
  <c r="K141" i="107" s="1"/>
  <c r="K152" i="107" s="1"/>
  <c r="K22" i="107"/>
  <c r="K21" i="107"/>
  <c r="K18" i="107"/>
  <c r="K150" i="107" s="1"/>
  <c r="F155" i="107" l="1"/>
  <c r="F154" i="107"/>
  <c r="I152" i="107"/>
  <c r="H152" i="107"/>
  <c r="G152" i="107"/>
  <c r="I64" i="107"/>
  <c r="I143" i="107" s="1"/>
  <c r="K150" i="89"/>
  <c r="J150" i="89"/>
  <c r="I150" i="89"/>
  <c r="H150" i="89"/>
  <c r="J149" i="89"/>
  <c r="F149" i="89"/>
  <c r="K148" i="89"/>
  <c r="J147" i="89"/>
  <c r="F147" i="89"/>
  <c r="J145" i="89"/>
  <c r="I145" i="89"/>
  <c r="F145" i="89"/>
  <c r="H144" i="89"/>
  <c r="G144" i="89"/>
  <c r="J143" i="89"/>
  <c r="G143" i="89"/>
  <c r="F143" i="89"/>
  <c r="G142" i="89"/>
  <c r="J137" i="89"/>
  <c r="I137" i="89"/>
  <c r="I149" i="89" s="1"/>
  <c r="H137" i="89"/>
  <c r="H149" i="89" s="1"/>
  <c r="G137" i="89"/>
  <c r="G149" i="89" s="1"/>
  <c r="F137" i="89"/>
  <c r="K135" i="89"/>
  <c r="K134" i="89"/>
  <c r="K133" i="89"/>
  <c r="K137" i="89" s="1"/>
  <c r="K149" i="89" s="1"/>
  <c r="K132" i="89"/>
  <c r="K131" i="89"/>
  <c r="F119" i="89"/>
  <c r="J108" i="89"/>
  <c r="H108" i="89"/>
  <c r="H147" i="89" s="1"/>
  <c r="G108" i="89"/>
  <c r="G147" i="89" s="1"/>
  <c r="F108" i="89"/>
  <c r="I106" i="89"/>
  <c r="K106" i="89" s="1"/>
  <c r="K105" i="89"/>
  <c r="I105" i="89"/>
  <c r="I104" i="89"/>
  <c r="K104" i="89" s="1"/>
  <c r="K103" i="89"/>
  <c r="I103" i="89"/>
  <c r="I102" i="89"/>
  <c r="I108" i="89" s="1"/>
  <c r="I147" i="89" s="1"/>
  <c r="J98" i="89"/>
  <c r="J146" i="89" s="1"/>
  <c r="H98" i="89"/>
  <c r="H146" i="89" s="1"/>
  <c r="G98" i="89"/>
  <c r="G146" i="89" s="1"/>
  <c r="F98" i="89"/>
  <c r="F146" i="89" s="1"/>
  <c r="I96" i="89"/>
  <c r="K96" i="89" s="1"/>
  <c r="K95" i="89"/>
  <c r="I95" i="89"/>
  <c r="I94" i="89"/>
  <c r="K94" i="89" s="1"/>
  <c r="K93" i="89"/>
  <c r="I93" i="89"/>
  <c r="I92" i="89"/>
  <c r="K92" i="89" s="1"/>
  <c r="K91" i="89"/>
  <c r="I91" i="89"/>
  <c r="I90" i="89"/>
  <c r="K90" i="89" s="1"/>
  <c r="K89" i="89"/>
  <c r="I89" i="89"/>
  <c r="I88" i="89"/>
  <c r="K88" i="89" s="1"/>
  <c r="K87" i="89"/>
  <c r="I87" i="89"/>
  <c r="I86" i="89"/>
  <c r="I98" i="89" s="1"/>
  <c r="I146" i="89" s="1"/>
  <c r="J82" i="89"/>
  <c r="I82" i="89"/>
  <c r="H82" i="89"/>
  <c r="H145" i="89" s="1"/>
  <c r="G82" i="89"/>
  <c r="G145" i="89" s="1"/>
  <c r="F82" i="89"/>
  <c r="K80" i="89"/>
  <c r="K79" i="89"/>
  <c r="K78" i="89"/>
  <c r="K82" i="89" s="1"/>
  <c r="K145" i="89" s="1"/>
  <c r="K77" i="89"/>
  <c r="J74" i="89"/>
  <c r="J144" i="89" s="1"/>
  <c r="I74" i="89"/>
  <c r="I144" i="89" s="1"/>
  <c r="H74" i="89"/>
  <c r="G74" i="89"/>
  <c r="F74" i="89"/>
  <c r="F144" i="89" s="1"/>
  <c r="K72" i="89"/>
  <c r="K71" i="89"/>
  <c r="K70" i="89"/>
  <c r="K69" i="89"/>
  <c r="K68" i="89"/>
  <c r="K74" i="89" s="1"/>
  <c r="K144" i="89" s="1"/>
  <c r="J64" i="89"/>
  <c r="I64" i="89"/>
  <c r="I143" i="89" s="1"/>
  <c r="H64" i="89"/>
  <c r="H143" i="89" s="1"/>
  <c r="G64" i="89"/>
  <c r="F64" i="89"/>
  <c r="K62" i="89"/>
  <c r="K61" i="89"/>
  <c r="K60" i="89"/>
  <c r="K59" i="89"/>
  <c r="K58" i="89"/>
  <c r="K57" i="89"/>
  <c r="K56" i="89"/>
  <c r="K55" i="89"/>
  <c r="K54" i="89"/>
  <c r="K53" i="89"/>
  <c r="K64" i="89" s="1"/>
  <c r="K143" i="89" s="1"/>
  <c r="J49" i="89"/>
  <c r="J142" i="89" s="1"/>
  <c r="I49" i="89"/>
  <c r="I142" i="89" s="1"/>
  <c r="H49" i="89"/>
  <c r="H142" i="89" s="1"/>
  <c r="G49" i="89"/>
  <c r="F49" i="89"/>
  <c r="F142" i="89" s="1"/>
  <c r="K47" i="89"/>
  <c r="K46" i="89"/>
  <c r="K45" i="89"/>
  <c r="K44" i="89"/>
  <c r="K43" i="89"/>
  <c r="K42" i="89"/>
  <c r="K41" i="89"/>
  <c r="K40" i="89"/>
  <c r="K49" i="89" s="1"/>
  <c r="K142" i="89" s="1"/>
  <c r="J36" i="89"/>
  <c r="J141" i="89" s="1"/>
  <c r="H36" i="89"/>
  <c r="H141" i="89" s="1"/>
  <c r="G36" i="89"/>
  <c r="G141" i="89" s="1"/>
  <c r="G152" i="89" s="1"/>
  <c r="F36" i="89"/>
  <c r="F141" i="89" s="1"/>
  <c r="I34" i="89"/>
  <c r="K34" i="89" s="1"/>
  <c r="I33" i="89"/>
  <c r="K33" i="89" s="1"/>
  <c r="I32" i="89"/>
  <c r="K32" i="89" s="1"/>
  <c r="I31" i="89"/>
  <c r="K31" i="89" s="1"/>
  <c r="I30" i="89"/>
  <c r="K30" i="89" s="1"/>
  <c r="I29" i="89"/>
  <c r="K29" i="89" s="1"/>
  <c r="I28" i="89"/>
  <c r="K28" i="89" s="1"/>
  <c r="I27" i="89"/>
  <c r="K27" i="89" s="1"/>
  <c r="I26" i="89"/>
  <c r="K26" i="89" s="1"/>
  <c r="I25" i="89"/>
  <c r="K25" i="89" s="1"/>
  <c r="I24" i="89"/>
  <c r="K24" i="89" s="1"/>
  <c r="I23" i="89"/>
  <c r="K23" i="89" s="1"/>
  <c r="I22" i="89"/>
  <c r="K22" i="89" s="1"/>
  <c r="I21" i="89"/>
  <c r="I36" i="89" s="1"/>
  <c r="I141" i="89" s="1"/>
  <c r="I152" i="89" s="1"/>
  <c r="K18" i="89"/>
  <c r="H152" i="89" l="1"/>
  <c r="J152" i="89"/>
  <c r="F152" i="89"/>
  <c r="K21" i="89"/>
  <c r="K36" i="89" s="1"/>
  <c r="K141" i="89" s="1"/>
  <c r="K86" i="89"/>
  <c r="K98" i="89" s="1"/>
  <c r="K146" i="89" s="1"/>
  <c r="K102" i="89"/>
  <c r="K108" i="89" s="1"/>
  <c r="K147" i="89" s="1"/>
  <c r="K152" i="89" l="1"/>
  <c r="F155" i="89" l="1"/>
  <c r="F154" i="89"/>
  <c r="J150" i="86" l="1"/>
  <c r="I150" i="86"/>
  <c r="H150" i="86"/>
  <c r="J149" i="86"/>
  <c r="H149" i="86"/>
  <c r="F149" i="86"/>
  <c r="K148" i="86"/>
  <c r="J147" i="86"/>
  <c r="G147" i="86"/>
  <c r="F147" i="86"/>
  <c r="J145" i="86"/>
  <c r="F145" i="86"/>
  <c r="H144" i="86"/>
  <c r="G143" i="86"/>
  <c r="G141" i="86"/>
  <c r="J137" i="86"/>
  <c r="I137" i="86"/>
  <c r="I149" i="86" s="1"/>
  <c r="H137" i="86"/>
  <c r="G137" i="86"/>
  <c r="G149" i="86" s="1"/>
  <c r="F137" i="86"/>
  <c r="K135" i="86"/>
  <c r="K134" i="86"/>
  <c r="K133" i="86"/>
  <c r="K132" i="86"/>
  <c r="K131" i="86"/>
  <c r="K137" i="86" s="1"/>
  <c r="K149" i="86" s="1"/>
  <c r="F119" i="86"/>
  <c r="J108" i="86"/>
  <c r="I108" i="86"/>
  <c r="I147" i="86" s="1"/>
  <c r="H108" i="86"/>
  <c r="H147" i="86" s="1"/>
  <c r="G108" i="86"/>
  <c r="F108" i="86"/>
  <c r="K106" i="86"/>
  <c r="I106" i="86"/>
  <c r="K105" i="86"/>
  <c r="I105" i="86"/>
  <c r="K104" i="86"/>
  <c r="I104" i="86"/>
  <c r="K103" i="86"/>
  <c r="I103" i="86"/>
  <c r="K102" i="86"/>
  <c r="K108" i="86" s="1"/>
  <c r="K147" i="86" s="1"/>
  <c r="I102" i="86"/>
  <c r="J98" i="86"/>
  <c r="J146" i="86" s="1"/>
  <c r="I98" i="86"/>
  <c r="I146" i="86" s="1"/>
  <c r="H98" i="86"/>
  <c r="H146" i="86" s="1"/>
  <c r="G98" i="86"/>
  <c r="G146" i="86" s="1"/>
  <c r="F98" i="86"/>
  <c r="F146" i="86" s="1"/>
  <c r="K96" i="86"/>
  <c r="I96" i="86"/>
  <c r="K95" i="86"/>
  <c r="I95" i="86"/>
  <c r="K94" i="86"/>
  <c r="I94" i="86"/>
  <c r="K93" i="86"/>
  <c r="I93" i="86"/>
  <c r="K92" i="86"/>
  <c r="I92" i="86"/>
  <c r="K91" i="86"/>
  <c r="I91" i="86"/>
  <c r="K90" i="86"/>
  <c r="I90" i="86"/>
  <c r="K89" i="86"/>
  <c r="I89" i="86"/>
  <c r="K88" i="86"/>
  <c r="I88" i="86"/>
  <c r="K87" i="86"/>
  <c r="I87" i="86"/>
  <c r="K86" i="86"/>
  <c r="K98" i="86" s="1"/>
  <c r="K146" i="86" s="1"/>
  <c r="I86" i="86"/>
  <c r="J82" i="86"/>
  <c r="I82" i="86"/>
  <c r="I145" i="86" s="1"/>
  <c r="H82" i="86"/>
  <c r="H145" i="86" s="1"/>
  <c r="G82" i="86"/>
  <c r="G145" i="86" s="1"/>
  <c r="F82" i="86"/>
  <c r="K80" i="86"/>
  <c r="K79" i="86"/>
  <c r="K78" i="86"/>
  <c r="K82" i="86" s="1"/>
  <c r="K145" i="86" s="1"/>
  <c r="K77" i="86"/>
  <c r="J74" i="86"/>
  <c r="J144" i="86" s="1"/>
  <c r="I74" i="86"/>
  <c r="I144" i="86" s="1"/>
  <c r="H74" i="86"/>
  <c r="G74" i="86"/>
  <c r="G144" i="86" s="1"/>
  <c r="F74" i="86"/>
  <c r="F144" i="86" s="1"/>
  <c r="K72" i="86"/>
  <c r="K71" i="86"/>
  <c r="K70" i="86"/>
  <c r="K74" i="86" s="1"/>
  <c r="K144" i="86" s="1"/>
  <c r="K69" i="86"/>
  <c r="K68" i="86"/>
  <c r="J64" i="86"/>
  <c r="J143" i="86" s="1"/>
  <c r="I64" i="86"/>
  <c r="I143" i="86" s="1"/>
  <c r="H64" i="86"/>
  <c r="H143" i="86" s="1"/>
  <c r="G64" i="86"/>
  <c r="F64" i="86"/>
  <c r="F143" i="86" s="1"/>
  <c r="K61" i="86"/>
  <c r="K60" i="86"/>
  <c r="K59" i="86"/>
  <c r="K58" i="86"/>
  <c r="K57" i="86"/>
  <c r="K56" i="86"/>
  <c r="K55" i="86"/>
  <c r="K54" i="86"/>
  <c r="K53" i="86"/>
  <c r="K64" i="86" s="1"/>
  <c r="K143" i="86" s="1"/>
  <c r="J49" i="86"/>
  <c r="J142" i="86" s="1"/>
  <c r="I49" i="86"/>
  <c r="I142" i="86" s="1"/>
  <c r="H49" i="86"/>
  <c r="H142" i="86" s="1"/>
  <c r="G49" i="86"/>
  <c r="G142" i="86" s="1"/>
  <c r="F49" i="86"/>
  <c r="F142" i="86" s="1"/>
  <c r="K47" i="86"/>
  <c r="I47" i="86"/>
  <c r="K46" i="86"/>
  <c r="I46" i="86"/>
  <c r="K45" i="86"/>
  <c r="I45" i="86"/>
  <c r="K44" i="86"/>
  <c r="I44" i="86"/>
  <c r="K43" i="86"/>
  <c r="I43" i="86"/>
  <c r="K42" i="86"/>
  <c r="I42" i="86"/>
  <c r="K41" i="86"/>
  <c r="I41" i="86"/>
  <c r="K40" i="86"/>
  <c r="K49" i="86" s="1"/>
  <c r="K142" i="86" s="1"/>
  <c r="J36" i="86"/>
  <c r="J141" i="86" s="1"/>
  <c r="J152" i="86" s="1"/>
  <c r="H36" i="86"/>
  <c r="H141" i="86" s="1"/>
  <c r="G36" i="86"/>
  <c r="F36" i="86"/>
  <c r="F141" i="86" s="1"/>
  <c r="I34" i="86"/>
  <c r="K34" i="86" s="1"/>
  <c r="I33" i="86"/>
  <c r="K33" i="86" s="1"/>
  <c r="I32" i="86"/>
  <c r="K32" i="86" s="1"/>
  <c r="I31" i="86"/>
  <c r="K31" i="86" s="1"/>
  <c r="I30" i="86"/>
  <c r="K30" i="86" s="1"/>
  <c r="I29" i="86"/>
  <c r="K29" i="86" s="1"/>
  <c r="I28" i="86"/>
  <c r="K28" i="86" s="1"/>
  <c r="I27" i="86"/>
  <c r="K27" i="86" s="1"/>
  <c r="I26" i="86"/>
  <c r="K26" i="86" s="1"/>
  <c r="I25" i="86"/>
  <c r="K25" i="86" s="1"/>
  <c r="I24" i="86"/>
  <c r="K24" i="86" s="1"/>
  <c r="I23" i="86"/>
  <c r="K23" i="86" s="1"/>
  <c r="I22" i="86"/>
  <c r="K22" i="86" s="1"/>
  <c r="I21" i="86"/>
  <c r="I36" i="86" s="1"/>
  <c r="I141" i="86" s="1"/>
  <c r="K18" i="86"/>
  <c r="K150" i="86" s="1"/>
  <c r="F152" i="86" l="1"/>
  <c r="I152" i="86"/>
  <c r="H152" i="86"/>
  <c r="G152" i="86"/>
  <c r="K21" i="86"/>
  <c r="K36" i="86" s="1"/>
  <c r="K141" i="86" s="1"/>
  <c r="K152" i="86" s="1"/>
  <c r="F155" i="86" l="1"/>
  <c r="F154" i="86"/>
  <c r="J150" i="109" l="1"/>
  <c r="I150" i="109"/>
  <c r="H150" i="109"/>
  <c r="H149" i="109"/>
  <c r="G149" i="109"/>
  <c r="K148" i="109"/>
  <c r="I146" i="109"/>
  <c r="H146" i="109"/>
  <c r="G143" i="109"/>
  <c r="J137" i="109"/>
  <c r="J149" i="109" s="1"/>
  <c r="I137" i="109"/>
  <c r="I149" i="109" s="1"/>
  <c r="H137" i="109"/>
  <c r="G137" i="109"/>
  <c r="F137" i="109"/>
  <c r="F149" i="109" s="1"/>
  <c r="K135" i="109"/>
  <c r="K134" i="109"/>
  <c r="K133" i="109"/>
  <c r="K132" i="109"/>
  <c r="K131" i="109"/>
  <c r="K137" i="109" s="1"/>
  <c r="K149" i="109" s="1"/>
  <c r="F119" i="109"/>
  <c r="F123" i="109" s="1"/>
  <c r="F127" i="109" s="1"/>
  <c r="J108" i="109"/>
  <c r="J147" i="109" s="1"/>
  <c r="I108" i="109"/>
  <c r="I147" i="109" s="1"/>
  <c r="H108" i="109"/>
  <c r="H147" i="109" s="1"/>
  <c r="G108" i="109"/>
  <c r="G147" i="109" s="1"/>
  <c r="F108" i="109"/>
  <c r="F147" i="109" s="1"/>
  <c r="K106" i="109"/>
  <c r="K105" i="109"/>
  <c r="K104" i="109"/>
  <c r="K108" i="109" s="1"/>
  <c r="K147" i="109" s="1"/>
  <c r="K103" i="109"/>
  <c r="K102" i="109"/>
  <c r="J98" i="109"/>
  <c r="J146" i="109" s="1"/>
  <c r="I98" i="109"/>
  <c r="H98" i="109"/>
  <c r="G98" i="109"/>
  <c r="G146" i="109" s="1"/>
  <c r="F98" i="109"/>
  <c r="F146" i="109" s="1"/>
  <c r="K96" i="109"/>
  <c r="K95" i="109"/>
  <c r="K94" i="109"/>
  <c r="K93" i="109"/>
  <c r="K92" i="109"/>
  <c r="K91" i="109"/>
  <c r="K90" i="109"/>
  <c r="K89" i="109"/>
  <c r="K88" i="109"/>
  <c r="K87" i="109"/>
  <c r="K86" i="109"/>
  <c r="K98" i="109" s="1"/>
  <c r="K146" i="109" s="1"/>
  <c r="J82" i="109"/>
  <c r="J145" i="109" s="1"/>
  <c r="I82" i="109"/>
  <c r="I145" i="109" s="1"/>
  <c r="H82" i="109"/>
  <c r="H145" i="109" s="1"/>
  <c r="G82" i="109"/>
  <c r="G145" i="109" s="1"/>
  <c r="F82" i="109"/>
  <c r="F145" i="109" s="1"/>
  <c r="K80" i="109"/>
  <c r="K79" i="109"/>
  <c r="K78" i="109"/>
  <c r="K82" i="109" s="1"/>
  <c r="K145" i="109" s="1"/>
  <c r="K77" i="109"/>
  <c r="J74" i="109"/>
  <c r="J144" i="109" s="1"/>
  <c r="I74" i="109"/>
  <c r="I144" i="109" s="1"/>
  <c r="H74" i="109"/>
  <c r="H144" i="109" s="1"/>
  <c r="G74" i="109"/>
  <c r="G144" i="109" s="1"/>
  <c r="F74" i="109"/>
  <c r="F144" i="109" s="1"/>
  <c r="K72" i="109"/>
  <c r="K71" i="109"/>
  <c r="K70" i="109"/>
  <c r="K69" i="109"/>
  <c r="K68" i="109"/>
  <c r="K74" i="109" s="1"/>
  <c r="K144" i="109" s="1"/>
  <c r="J64" i="109"/>
  <c r="J143" i="109" s="1"/>
  <c r="I64" i="109"/>
  <c r="I143" i="109" s="1"/>
  <c r="H64" i="109"/>
  <c r="G64" i="109"/>
  <c r="F64" i="109"/>
  <c r="F143" i="109" s="1"/>
  <c r="J49" i="109"/>
  <c r="J142" i="109" s="1"/>
  <c r="I49" i="109"/>
  <c r="I142" i="109" s="1"/>
  <c r="H49" i="109"/>
  <c r="H142" i="109" s="1"/>
  <c r="G49" i="109"/>
  <c r="G142" i="109" s="1"/>
  <c r="F49" i="109"/>
  <c r="F142" i="109" s="1"/>
  <c r="K47" i="109"/>
  <c r="K46" i="109"/>
  <c r="K45" i="109"/>
  <c r="K44" i="109"/>
  <c r="K43" i="109"/>
  <c r="K42" i="109"/>
  <c r="K41" i="109"/>
  <c r="K40" i="109"/>
  <c r="K49" i="109" s="1"/>
  <c r="K142" i="109" s="1"/>
  <c r="J36" i="109"/>
  <c r="J141" i="109" s="1"/>
  <c r="I36" i="109"/>
  <c r="I141" i="109" s="1"/>
  <c r="H36" i="109"/>
  <c r="H141" i="109" s="1"/>
  <c r="G36" i="109"/>
  <c r="G141" i="109" s="1"/>
  <c r="F36" i="109"/>
  <c r="F141" i="109" s="1"/>
  <c r="K34" i="109"/>
  <c r="K33" i="109"/>
  <c r="K32" i="109"/>
  <c r="K31" i="109"/>
  <c r="K30" i="109"/>
  <c r="K29" i="109"/>
  <c r="K28" i="109"/>
  <c r="K27" i="109"/>
  <c r="K26" i="109"/>
  <c r="K25" i="109"/>
  <c r="K24" i="109"/>
  <c r="K36" i="109" s="1"/>
  <c r="K141" i="109" s="1"/>
  <c r="K23" i="109"/>
  <c r="K22" i="109"/>
  <c r="K21" i="109"/>
  <c r="K18" i="109"/>
  <c r="K150" i="109" s="1"/>
  <c r="C7" i="109"/>
  <c r="H143" i="109" l="1"/>
  <c r="H152" i="109" s="1"/>
  <c r="K64" i="109"/>
  <c r="K143" i="109" s="1"/>
  <c r="K152" i="109" s="1"/>
  <c r="F31" i="126" s="1"/>
  <c r="K65" i="109"/>
  <c r="F152" i="109"/>
  <c r="J152" i="109"/>
  <c r="I152" i="109"/>
  <c r="G152" i="109"/>
  <c r="F155" i="109" l="1"/>
  <c r="F154" i="109"/>
  <c r="K150" i="92" l="1"/>
  <c r="J150" i="92"/>
  <c r="I150" i="92"/>
  <c r="H150" i="92"/>
  <c r="J149" i="92"/>
  <c r="F149" i="92"/>
  <c r="K148" i="92"/>
  <c r="J147" i="92"/>
  <c r="I147" i="92"/>
  <c r="F147" i="92"/>
  <c r="I146" i="92"/>
  <c r="H146" i="92"/>
  <c r="J145" i="92"/>
  <c r="I145" i="92"/>
  <c r="F145" i="92"/>
  <c r="H144" i="92"/>
  <c r="G144" i="92"/>
  <c r="J143" i="92"/>
  <c r="G143" i="92"/>
  <c r="F143" i="92"/>
  <c r="G142" i="92"/>
  <c r="I141" i="92"/>
  <c r="J137" i="92"/>
  <c r="I137" i="92"/>
  <c r="I149" i="92" s="1"/>
  <c r="H137" i="92"/>
  <c r="H149" i="92" s="1"/>
  <c r="G137" i="92"/>
  <c r="G149" i="92" s="1"/>
  <c r="F137" i="92"/>
  <c r="K135" i="92"/>
  <c r="K134" i="92"/>
  <c r="K133" i="92"/>
  <c r="K137" i="92" s="1"/>
  <c r="K149" i="92" s="1"/>
  <c r="K132" i="92"/>
  <c r="K131" i="92"/>
  <c r="F119" i="92"/>
  <c r="J108" i="92"/>
  <c r="I108" i="92"/>
  <c r="H108" i="92"/>
  <c r="H147" i="92" s="1"/>
  <c r="G108" i="92"/>
  <c r="G147" i="92" s="1"/>
  <c r="F108" i="92"/>
  <c r="K106" i="92"/>
  <c r="K105" i="92"/>
  <c r="K104" i="92"/>
  <c r="K108" i="92" s="1"/>
  <c r="K147" i="92" s="1"/>
  <c r="K103" i="92"/>
  <c r="K102" i="92"/>
  <c r="J98" i="92"/>
  <c r="J146" i="92" s="1"/>
  <c r="I98" i="92"/>
  <c r="H98" i="92"/>
  <c r="G98" i="92"/>
  <c r="G146" i="92" s="1"/>
  <c r="F98" i="92"/>
  <c r="F146" i="92" s="1"/>
  <c r="K96" i="92"/>
  <c r="K95" i="92"/>
  <c r="K94" i="92"/>
  <c r="K93" i="92"/>
  <c r="K92" i="92"/>
  <c r="K91" i="92"/>
  <c r="K90" i="92"/>
  <c r="K89" i="92"/>
  <c r="K88" i="92"/>
  <c r="K87" i="92"/>
  <c r="K86" i="92"/>
  <c r="K98" i="92" s="1"/>
  <c r="K146" i="92" s="1"/>
  <c r="J82" i="92"/>
  <c r="I82" i="92"/>
  <c r="H82" i="92"/>
  <c r="H145" i="92" s="1"/>
  <c r="G82" i="92"/>
  <c r="G145" i="92" s="1"/>
  <c r="F82" i="92"/>
  <c r="K80" i="92"/>
  <c r="K79" i="92"/>
  <c r="K78" i="92"/>
  <c r="K82" i="92" s="1"/>
  <c r="K145" i="92" s="1"/>
  <c r="K77" i="92"/>
  <c r="J74" i="92"/>
  <c r="J144" i="92" s="1"/>
  <c r="I74" i="92"/>
  <c r="I144" i="92" s="1"/>
  <c r="H74" i="92"/>
  <c r="G74" i="92"/>
  <c r="F74" i="92"/>
  <c r="F144" i="92" s="1"/>
  <c r="K72" i="92"/>
  <c r="K71" i="92"/>
  <c r="K70" i="92"/>
  <c r="K69" i="92"/>
  <c r="K68" i="92"/>
  <c r="K74" i="92" s="1"/>
  <c r="K144" i="92" s="1"/>
  <c r="J64" i="92"/>
  <c r="I64" i="92"/>
  <c r="I143" i="92" s="1"/>
  <c r="H64" i="92"/>
  <c r="H143" i="92" s="1"/>
  <c r="G64" i="92"/>
  <c r="F64" i="92"/>
  <c r="K62" i="92"/>
  <c r="K61" i="92"/>
  <c r="K60" i="92"/>
  <c r="K59" i="92"/>
  <c r="K58" i="92"/>
  <c r="K57" i="92"/>
  <c r="K56" i="92"/>
  <c r="K55" i="92"/>
  <c r="K54" i="92"/>
  <c r="K53" i="92"/>
  <c r="K64" i="92" s="1"/>
  <c r="K143" i="92" s="1"/>
  <c r="J49" i="92"/>
  <c r="J142" i="92" s="1"/>
  <c r="I49" i="92"/>
  <c r="I142" i="92" s="1"/>
  <c r="H49" i="92"/>
  <c r="H142" i="92" s="1"/>
  <c r="G49" i="92"/>
  <c r="F49" i="92"/>
  <c r="F142" i="92" s="1"/>
  <c r="K47" i="92"/>
  <c r="K46" i="92"/>
  <c r="K45" i="92"/>
  <c r="K44" i="92"/>
  <c r="K43" i="92"/>
  <c r="K42" i="92"/>
  <c r="K41" i="92"/>
  <c r="K40" i="92"/>
  <c r="K49" i="92" s="1"/>
  <c r="K142" i="92" s="1"/>
  <c r="J36" i="92"/>
  <c r="J141" i="92" s="1"/>
  <c r="I36" i="92"/>
  <c r="H36" i="92"/>
  <c r="H141" i="92" s="1"/>
  <c r="G36" i="92"/>
  <c r="G141" i="92" s="1"/>
  <c r="G152" i="92" s="1"/>
  <c r="F36" i="92"/>
  <c r="F141" i="92" s="1"/>
  <c r="K34" i="92"/>
  <c r="K33" i="92"/>
  <c r="K32" i="92"/>
  <c r="K31" i="92"/>
  <c r="K30" i="92"/>
  <c r="K29" i="92"/>
  <c r="K28" i="92"/>
  <c r="K26" i="92"/>
  <c r="K25" i="92"/>
  <c r="K24" i="92"/>
  <c r="K23" i="92"/>
  <c r="K22" i="92"/>
  <c r="K36" i="92" s="1"/>
  <c r="K141" i="92" s="1"/>
  <c r="K21" i="92"/>
  <c r="K18" i="92"/>
  <c r="I152" i="92" l="1"/>
  <c r="H152" i="92"/>
  <c r="K152" i="92"/>
  <c r="F152" i="92"/>
  <c r="J152" i="92"/>
  <c r="J150" i="68"/>
  <c r="I150" i="68"/>
  <c r="H150" i="68"/>
  <c r="H149" i="68"/>
  <c r="K148" i="68"/>
  <c r="G143" i="68"/>
  <c r="G141" i="68"/>
  <c r="J137" i="68"/>
  <c r="J149" i="68" s="1"/>
  <c r="I137" i="68"/>
  <c r="I149" i="68" s="1"/>
  <c r="H137" i="68"/>
  <c r="G137" i="68"/>
  <c r="G149" i="68" s="1"/>
  <c r="F137" i="68"/>
  <c r="F149" i="68" s="1"/>
  <c r="K135" i="68"/>
  <c r="K134" i="68"/>
  <c r="K133" i="68"/>
  <c r="K132" i="68"/>
  <c r="K131" i="68"/>
  <c r="K137" i="68" s="1"/>
  <c r="K149" i="68" s="1"/>
  <c r="F119" i="68"/>
  <c r="F123" i="68" s="1"/>
  <c r="F127" i="68" s="1"/>
  <c r="J108" i="68"/>
  <c r="J147" i="68" s="1"/>
  <c r="H108" i="68"/>
  <c r="H147" i="68" s="1"/>
  <c r="G108" i="68"/>
  <c r="G147" i="68" s="1"/>
  <c r="F108" i="68"/>
  <c r="F147" i="68" s="1"/>
  <c r="I106" i="68"/>
  <c r="K106" i="68" s="1"/>
  <c r="K105" i="68"/>
  <c r="I105" i="68"/>
  <c r="I104" i="68"/>
  <c r="K104" i="68" s="1"/>
  <c r="K103" i="68"/>
  <c r="I103" i="68"/>
  <c r="I102" i="68"/>
  <c r="I108" i="68" s="1"/>
  <c r="I147" i="68" s="1"/>
  <c r="J98" i="68"/>
  <c r="J146" i="68" s="1"/>
  <c r="H98" i="68"/>
  <c r="H146" i="68" s="1"/>
  <c r="G98" i="68"/>
  <c r="G146" i="68" s="1"/>
  <c r="F98" i="68"/>
  <c r="F146" i="68" s="1"/>
  <c r="I96" i="68"/>
  <c r="K96" i="68" s="1"/>
  <c r="K95" i="68"/>
  <c r="I95" i="68"/>
  <c r="I94" i="68"/>
  <c r="K94" i="68" s="1"/>
  <c r="K93" i="68"/>
  <c r="I93" i="68"/>
  <c r="I92" i="68"/>
  <c r="K92" i="68" s="1"/>
  <c r="K91" i="68"/>
  <c r="I91" i="68"/>
  <c r="I90" i="68"/>
  <c r="K90" i="68" s="1"/>
  <c r="K89" i="68"/>
  <c r="I89" i="68"/>
  <c r="I88" i="68"/>
  <c r="K88" i="68" s="1"/>
  <c r="K87" i="68"/>
  <c r="I87" i="68"/>
  <c r="K86" i="68"/>
  <c r="I86" i="68"/>
  <c r="I98" i="68" s="1"/>
  <c r="I146" i="68" s="1"/>
  <c r="J82" i="68"/>
  <c r="J145" i="68" s="1"/>
  <c r="I82" i="68"/>
  <c r="I145" i="68" s="1"/>
  <c r="H82" i="68"/>
  <c r="H145" i="68" s="1"/>
  <c r="G82" i="68"/>
  <c r="G145" i="68" s="1"/>
  <c r="F82" i="68"/>
  <c r="F145" i="68" s="1"/>
  <c r="K80" i="68"/>
  <c r="K79" i="68"/>
  <c r="K78" i="68"/>
  <c r="K82" i="68" s="1"/>
  <c r="K145" i="68" s="1"/>
  <c r="K77" i="68"/>
  <c r="J74" i="68"/>
  <c r="J144" i="68" s="1"/>
  <c r="I74" i="68"/>
  <c r="I144" i="68" s="1"/>
  <c r="H74" i="68"/>
  <c r="H144" i="68" s="1"/>
  <c r="G74" i="68"/>
  <c r="G144" i="68" s="1"/>
  <c r="F74" i="68"/>
  <c r="F144" i="68" s="1"/>
  <c r="K72" i="68"/>
  <c r="K71" i="68"/>
  <c r="K70" i="68"/>
  <c r="K69" i="68"/>
  <c r="K68" i="68"/>
  <c r="K74" i="68" s="1"/>
  <c r="K144" i="68" s="1"/>
  <c r="J64" i="68"/>
  <c r="J143" i="68" s="1"/>
  <c r="H64" i="68"/>
  <c r="H143" i="68" s="1"/>
  <c r="G64" i="68"/>
  <c r="F64" i="68"/>
  <c r="F143" i="68" s="1"/>
  <c r="K62" i="68"/>
  <c r="K61" i="68"/>
  <c r="K60" i="68"/>
  <c r="K59" i="68"/>
  <c r="K58" i="68"/>
  <c r="K57" i="68"/>
  <c r="K56" i="68"/>
  <c r="I55" i="68"/>
  <c r="K55" i="68" s="1"/>
  <c r="K54" i="68"/>
  <c r="I54" i="68"/>
  <c r="I53" i="68"/>
  <c r="K53" i="68" s="1"/>
  <c r="J49" i="68"/>
  <c r="J142" i="68" s="1"/>
  <c r="G49" i="68"/>
  <c r="G142" i="68" s="1"/>
  <c r="F49" i="68"/>
  <c r="F142" i="68" s="1"/>
  <c r="K47" i="68"/>
  <c r="K46" i="68"/>
  <c r="K45" i="68"/>
  <c r="K44" i="68"/>
  <c r="K43" i="68"/>
  <c r="K42" i="68"/>
  <c r="H41" i="68"/>
  <c r="I41" i="68" s="1"/>
  <c r="K41" i="68" s="1"/>
  <c r="I40" i="68"/>
  <c r="J36" i="68"/>
  <c r="J141" i="68" s="1"/>
  <c r="H36" i="68"/>
  <c r="H141" i="68" s="1"/>
  <c r="G36" i="68"/>
  <c r="F36" i="68"/>
  <c r="F141" i="68" s="1"/>
  <c r="I34" i="68"/>
  <c r="K34" i="68" s="1"/>
  <c r="I33" i="68"/>
  <c r="K33" i="68" s="1"/>
  <c r="I32" i="68"/>
  <c r="K32" i="68" s="1"/>
  <c r="I31" i="68"/>
  <c r="K31" i="68" s="1"/>
  <c r="I30" i="68"/>
  <c r="K30" i="68" s="1"/>
  <c r="I29" i="68"/>
  <c r="K29" i="68" s="1"/>
  <c r="I28" i="68"/>
  <c r="K28" i="68" s="1"/>
  <c r="I27" i="68"/>
  <c r="K27" i="68" s="1"/>
  <c r="I26" i="68"/>
  <c r="K26" i="68" s="1"/>
  <c r="I25" i="68"/>
  <c r="K25" i="68" s="1"/>
  <c r="I24" i="68"/>
  <c r="K24" i="68" s="1"/>
  <c r="I23" i="68"/>
  <c r="K23" i="68" s="1"/>
  <c r="I22" i="68"/>
  <c r="K22" i="68" s="1"/>
  <c r="I21" i="68"/>
  <c r="K21" i="68" s="1"/>
  <c r="K18" i="68"/>
  <c r="K150" i="68" s="1"/>
  <c r="F155" i="92" l="1"/>
  <c r="F154" i="92"/>
  <c r="H152" i="68"/>
  <c r="K64" i="68"/>
  <c r="K143" i="68" s="1"/>
  <c r="F152" i="68"/>
  <c r="I49" i="68"/>
  <c r="I142" i="68" s="1"/>
  <c r="K98" i="68"/>
  <c r="K146" i="68" s="1"/>
  <c r="G152" i="68"/>
  <c r="K36" i="68"/>
  <c r="K141" i="68" s="1"/>
  <c r="J152" i="68"/>
  <c r="I36" i="68"/>
  <c r="I141" i="68" s="1"/>
  <c r="K40" i="68"/>
  <c r="K49" i="68" s="1"/>
  <c r="K142" i="68" s="1"/>
  <c r="H49" i="68"/>
  <c r="H142" i="68" s="1"/>
  <c r="I64" i="68"/>
  <c r="I143" i="68" s="1"/>
  <c r="K102" i="68"/>
  <c r="K108" i="68" s="1"/>
  <c r="K147" i="68" s="1"/>
  <c r="K152" i="68" l="1"/>
  <c r="I152" i="68"/>
  <c r="F155" i="68" l="1"/>
  <c r="F154" i="68"/>
  <c r="J150" i="70" l="1"/>
  <c r="I150" i="70"/>
  <c r="H150" i="70"/>
  <c r="H149" i="70"/>
  <c r="K148" i="70"/>
  <c r="G147" i="70"/>
  <c r="I144" i="70"/>
  <c r="G143" i="70"/>
  <c r="I142" i="70"/>
  <c r="J137" i="70"/>
  <c r="J149" i="70" s="1"/>
  <c r="I137" i="70"/>
  <c r="I149" i="70" s="1"/>
  <c r="H137" i="70"/>
  <c r="G137" i="70"/>
  <c r="G149" i="70" s="1"/>
  <c r="F137" i="70"/>
  <c r="F149" i="70" s="1"/>
  <c r="K135" i="70"/>
  <c r="K134" i="70"/>
  <c r="K133" i="70"/>
  <c r="K132" i="70"/>
  <c r="K131" i="70"/>
  <c r="K137" i="70" s="1"/>
  <c r="K149" i="70" s="1"/>
  <c r="F119" i="70"/>
  <c r="J108" i="70"/>
  <c r="J147" i="70" s="1"/>
  <c r="I108" i="70"/>
  <c r="I147" i="70" s="1"/>
  <c r="G108" i="70"/>
  <c r="F108" i="70"/>
  <c r="F147" i="70" s="1"/>
  <c r="K106" i="70"/>
  <c r="I106" i="70"/>
  <c r="I105" i="70"/>
  <c r="K105" i="70" s="1"/>
  <c r="K104" i="70"/>
  <c r="I104" i="70"/>
  <c r="I103" i="70"/>
  <c r="K103" i="70" s="1"/>
  <c r="K102" i="70"/>
  <c r="K108" i="70" s="1"/>
  <c r="K147" i="70" s="1"/>
  <c r="I102" i="70"/>
  <c r="H102" i="70"/>
  <c r="H108" i="70" s="1"/>
  <c r="H147" i="70" s="1"/>
  <c r="J98" i="70"/>
  <c r="J146" i="70" s="1"/>
  <c r="G98" i="70"/>
  <c r="G146" i="70" s="1"/>
  <c r="F98" i="70"/>
  <c r="F146" i="70" s="1"/>
  <c r="I96" i="70"/>
  <c r="K96" i="70" s="1"/>
  <c r="I95" i="70"/>
  <c r="K95" i="70" s="1"/>
  <c r="I94" i="70"/>
  <c r="K94" i="70" s="1"/>
  <c r="I93" i="70"/>
  <c r="H93" i="70"/>
  <c r="K93" i="70" s="1"/>
  <c r="I92" i="70"/>
  <c r="K92" i="70" s="1"/>
  <c r="K91" i="70"/>
  <c r="I91" i="70"/>
  <c r="I90" i="70"/>
  <c r="K90" i="70" s="1"/>
  <c r="K89" i="70"/>
  <c r="I89" i="70"/>
  <c r="H89" i="70"/>
  <c r="I88" i="70"/>
  <c r="H88" i="70"/>
  <c r="K88" i="70" s="1"/>
  <c r="F88" i="70"/>
  <c r="I87" i="70"/>
  <c r="H87" i="70"/>
  <c r="H98" i="70" s="1"/>
  <c r="H146" i="70" s="1"/>
  <c r="I86" i="70"/>
  <c r="I98" i="70" s="1"/>
  <c r="I146" i="70" s="1"/>
  <c r="J82" i="70"/>
  <c r="J145" i="70" s="1"/>
  <c r="I82" i="70"/>
  <c r="I145" i="70" s="1"/>
  <c r="G82" i="70"/>
  <c r="G145" i="70" s="1"/>
  <c r="F82" i="70"/>
  <c r="F145" i="70" s="1"/>
  <c r="K80" i="70"/>
  <c r="H79" i="70"/>
  <c r="H82" i="70" s="1"/>
  <c r="H145" i="70" s="1"/>
  <c r="K78" i="70"/>
  <c r="K77" i="70"/>
  <c r="J74" i="70"/>
  <c r="J144" i="70" s="1"/>
  <c r="I74" i="70"/>
  <c r="H74" i="70"/>
  <c r="H144" i="70" s="1"/>
  <c r="G74" i="70"/>
  <c r="G144" i="70" s="1"/>
  <c r="F74" i="70"/>
  <c r="F144" i="70" s="1"/>
  <c r="K72" i="70"/>
  <c r="K71" i="70"/>
  <c r="K70" i="70"/>
  <c r="K69" i="70"/>
  <c r="K68" i="70"/>
  <c r="K74" i="70" s="1"/>
  <c r="K144" i="70" s="1"/>
  <c r="J64" i="70"/>
  <c r="J143" i="70" s="1"/>
  <c r="I64" i="70"/>
  <c r="I143" i="70" s="1"/>
  <c r="G64" i="70"/>
  <c r="F64" i="70"/>
  <c r="F143" i="70" s="1"/>
  <c r="H54" i="70"/>
  <c r="H64" i="70" s="1"/>
  <c r="H143" i="70" s="1"/>
  <c r="K64" i="70"/>
  <c r="K143" i="70" s="1"/>
  <c r="J49" i="70"/>
  <c r="J142" i="70" s="1"/>
  <c r="I49" i="70"/>
  <c r="G49" i="70"/>
  <c r="G142" i="70" s="1"/>
  <c r="F49" i="70"/>
  <c r="F142" i="70" s="1"/>
  <c r="K47" i="70"/>
  <c r="K46" i="70"/>
  <c r="K45" i="70"/>
  <c r="K44" i="70"/>
  <c r="K43" i="70"/>
  <c r="K42" i="70"/>
  <c r="H41" i="70"/>
  <c r="H49" i="70" s="1"/>
  <c r="H142" i="70" s="1"/>
  <c r="K40" i="70"/>
  <c r="F40" i="70"/>
  <c r="J36" i="70"/>
  <c r="J141" i="70" s="1"/>
  <c r="F36" i="70"/>
  <c r="F141" i="70" s="1"/>
  <c r="I34" i="70"/>
  <c r="K34" i="70" s="1"/>
  <c r="I33" i="70"/>
  <c r="K33" i="70" s="1"/>
  <c r="I32" i="70"/>
  <c r="K32" i="70" s="1"/>
  <c r="I31" i="70"/>
  <c r="K31" i="70" s="1"/>
  <c r="I30" i="70"/>
  <c r="K30" i="70" s="1"/>
  <c r="I29" i="70"/>
  <c r="H29" i="70"/>
  <c r="K29" i="70" s="1"/>
  <c r="G29" i="70"/>
  <c r="I28" i="70"/>
  <c r="K28" i="70" s="1"/>
  <c r="K27" i="70"/>
  <c r="I27" i="70"/>
  <c r="I26" i="70"/>
  <c r="K26" i="70" s="1"/>
  <c r="K25" i="70"/>
  <c r="I25" i="70"/>
  <c r="H25" i="70"/>
  <c r="G25" i="70"/>
  <c r="K24" i="70"/>
  <c r="I24" i="70"/>
  <c r="I23" i="70"/>
  <c r="K23" i="70" s="1"/>
  <c r="K22" i="70"/>
  <c r="I22" i="70"/>
  <c r="I21" i="70"/>
  <c r="I36" i="70" s="1"/>
  <c r="I141" i="70" s="1"/>
  <c r="I152" i="70" s="1"/>
  <c r="H21" i="70"/>
  <c r="H36" i="70" s="1"/>
  <c r="H141" i="70" s="1"/>
  <c r="G21" i="70"/>
  <c r="G36" i="70" s="1"/>
  <c r="G141" i="70" s="1"/>
  <c r="G152" i="70" s="1"/>
  <c r="F21" i="70"/>
  <c r="K18" i="70"/>
  <c r="K150" i="70" s="1"/>
  <c r="K49" i="70" l="1"/>
  <c r="K142" i="70" s="1"/>
  <c r="F152" i="70"/>
  <c r="H152" i="70"/>
  <c r="J152" i="70"/>
  <c r="K21" i="70"/>
  <c r="K36" i="70" s="1"/>
  <c r="K141" i="70" s="1"/>
  <c r="K41" i="70"/>
  <c r="K79" i="70"/>
  <c r="K82" i="70" s="1"/>
  <c r="K145" i="70" s="1"/>
  <c r="K87" i="70"/>
  <c r="K86" i="70"/>
  <c r="K98" i="70" s="1"/>
  <c r="K146" i="70" s="1"/>
  <c r="K152" i="70" l="1"/>
  <c r="F155" i="70" l="1"/>
  <c r="F154" i="70"/>
  <c r="K150" i="74" l="1"/>
  <c r="J150" i="74"/>
  <c r="I150" i="74"/>
  <c r="H150" i="74"/>
  <c r="J149" i="74"/>
  <c r="F149" i="74"/>
  <c r="H146" i="74"/>
  <c r="G146" i="74"/>
  <c r="H144" i="74"/>
  <c r="G144" i="74"/>
  <c r="H142" i="74"/>
  <c r="G142" i="74"/>
  <c r="J137" i="74"/>
  <c r="H137" i="74"/>
  <c r="H149" i="74" s="1"/>
  <c r="G137" i="74"/>
  <c r="G149" i="74" s="1"/>
  <c r="F137" i="74"/>
  <c r="K135" i="74"/>
  <c r="K134" i="74"/>
  <c r="K133" i="74"/>
  <c r="K132" i="74"/>
  <c r="I131" i="74"/>
  <c r="I137" i="74" s="1"/>
  <c r="I149" i="74" s="1"/>
  <c r="F125" i="74"/>
  <c r="F121" i="74"/>
  <c r="F118" i="74"/>
  <c r="F117" i="74"/>
  <c r="F119" i="74" s="1"/>
  <c r="F111" i="74"/>
  <c r="K148" i="74" s="1"/>
  <c r="J108" i="74"/>
  <c r="J147" i="74" s="1"/>
  <c r="I108" i="74"/>
  <c r="I147" i="74" s="1"/>
  <c r="H108" i="74"/>
  <c r="H147" i="74" s="1"/>
  <c r="G108" i="74"/>
  <c r="G147" i="74" s="1"/>
  <c r="F108" i="74"/>
  <c r="F147" i="74" s="1"/>
  <c r="K106" i="74"/>
  <c r="I106" i="74"/>
  <c r="I105" i="74"/>
  <c r="K105" i="74" s="1"/>
  <c r="K104" i="74"/>
  <c r="I104" i="74"/>
  <c r="I103" i="74"/>
  <c r="K103" i="74" s="1"/>
  <c r="K102" i="74"/>
  <c r="K108" i="74" s="1"/>
  <c r="K147" i="74" s="1"/>
  <c r="I102" i="74"/>
  <c r="J98" i="74"/>
  <c r="J146" i="74" s="1"/>
  <c r="I98" i="74"/>
  <c r="I146" i="74" s="1"/>
  <c r="H98" i="74"/>
  <c r="G98" i="74"/>
  <c r="F98" i="74"/>
  <c r="F146" i="74" s="1"/>
  <c r="K96" i="74"/>
  <c r="I96" i="74"/>
  <c r="I95" i="74"/>
  <c r="K95" i="74" s="1"/>
  <c r="K94" i="74"/>
  <c r="I94" i="74"/>
  <c r="I93" i="74"/>
  <c r="K93" i="74" s="1"/>
  <c r="K92" i="74"/>
  <c r="I92" i="74"/>
  <c r="I91" i="74"/>
  <c r="K91" i="74" s="1"/>
  <c r="K90" i="74"/>
  <c r="I90" i="74"/>
  <c r="I89" i="74"/>
  <c r="K89" i="74" s="1"/>
  <c r="K88" i="74"/>
  <c r="I88" i="74"/>
  <c r="I87" i="74"/>
  <c r="K87" i="74" s="1"/>
  <c r="K86" i="74"/>
  <c r="I86" i="74"/>
  <c r="J82" i="74"/>
  <c r="J145" i="74" s="1"/>
  <c r="H82" i="74"/>
  <c r="H145" i="74" s="1"/>
  <c r="G82" i="74"/>
  <c r="G145" i="74" s="1"/>
  <c r="F82" i="74"/>
  <c r="F145" i="74" s="1"/>
  <c r="K80" i="74"/>
  <c r="I79" i="74"/>
  <c r="K79" i="74" s="1"/>
  <c r="I78" i="74"/>
  <c r="K78" i="74" s="1"/>
  <c r="I77" i="74"/>
  <c r="K77" i="74" s="1"/>
  <c r="K82" i="74" s="1"/>
  <c r="K145" i="74" s="1"/>
  <c r="J74" i="74"/>
  <c r="J144" i="74" s="1"/>
  <c r="H74" i="74"/>
  <c r="G74" i="74"/>
  <c r="F74" i="74"/>
  <c r="F144" i="74" s="1"/>
  <c r="K72" i="74"/>
  <c r="K71" i="74"/>
  <c r="K70" i="74"/>
  <c r="K69" i="74"/>
  <c r="I68" i="74"/>
  <c r="I74" i="74" s="1"/>
  <c r="I144" i="74" s="1"/>
  <c r="J64" i="74"/>
  <c r="J143" i="74" s="1"/>
  <c r="H64" i="74"/>
  <c r="H143" i="74" s="1"/>
  <c r="G64" i="74"/>
  <c r="G143" i="74" s="1"/>
  <c r="F64" i="74"/>
  <c r="F143" i="74" s="1"/>
  <c r="I59" i="74"/>
  <c r="I54" i="74"/>
  <c r="K64" i="74"/>
  <c r="K143" i="74" s="1"/>
  <c r="I53" i="74"/>
  <c r="I64" i="74" s="1"/>
  <c r="I143" i="74" s="1"/>
  <c r="J49" i="74"/>
  <c r="J142" i="74" s="1"/>
  <c r="H49" i="74"/>
  <c r="G49" i="74"/>
  <c r="F49" i="74"/>
  <c r="F142" i="74" s="1"/>
  <c r="K47" i="74"/>
  <c r="K46" i="74"/>
  <c r="K45" i="74"/>
  <c r="K44" i="74"/>
  <c r="K43" i="74"/>
  <c r="I42" i="74"/>
  <c r="K42" i="74" s="1"/>
  <c r="I41" i="74"/>
  <c r="I49" i="74" s="1"/>
  <c r="I142" i="74" s="1"/>
  <c r="I40" i="74"/>
  <c r="K40" i="74" s="1"/>
  <c r="J36" i="74"/>
  <c r="J141" i="74" s="1"/>
  <c r="H36" i="74"/>
  <c r="H141" i="74" s="1"/>
  <c r="G36" i="74"/>
  <c r="G141" i="74" s="1"/>
  <c r="F36" i="74"/>
  <c r="F141" i="74" s="1"/>
  <c r="F152" i="74" s="1"/>
  <c r="I34" i="74"/>
  <c r="K34" i="74" s="1"/>
  <c r="I33" i="74"/>
  <c r="K33" i="74" s="1"/>
  <c r="I32" i="74"/>
  <c r="K32" i="74" s="1"/>
  <c r="I31" i="74"/>
  <c r="K31" i="74" s="1"/>
  <c r="I30" i="74"/>
  <c r="K30" i="74" s="1"/>
  <c r="I29" i="74"/>
  <c r="K29" i="74" s="1"/>
  <c r="I28" i="74"/>
  <c r="K28" i="74" s="1"/>
  <c r="I27" i="74"/>
  <c r="K27" i="74" s="1"/>
  <c r="I26" i="74"/>
  <c r="K26" i="74" s="1"/>
  <c r="I25" i="74"/>
  <c r="K25" i="74" s="1"/>
  <c r="I24" i="74"/>
  <c r="K24" i="74" s="1"/>
  <c r="I23" i="74"/>
  <c r="K23" i="74" s="1"/>
  <c r="I22" i="74"/>
  <c r="K22" i="74" s="1"/>
  <c r="I21" i="74"/>
  <c r="I36" i="74" s="1"/>
  <c r="I141" i="74" s="1"/>
  <c r="K18" i="74"/>
  <c r="G152" i="74" l="1"/>
  <c r="H152" i="74"/>
  <c r="K98" i="74"/>
  <c r="K146" i="74" s="1"/>
  <c r="J152" i="74"/>
  <c r="I82" i="74"/>
  <c r="I145" i="74" s="1"/>
  <c r="I152" i="74" s="1"/>
  <c r="K21" i="74"/>
  <c r="K36" i="74" s="1"/>
  <c r="K141" i="74" s="1"/>
  <c r="K41" i="74"/>
  <c r="K49" i="74" s="1"/>
  <c r="K142" i="74" s="1"/>
  <c r="K131" i="74"/>
  <c r="K137" i="74" s="1"/>
  <c r="K149" i="74" s="1"/>
  <c r="K68" i="74"/>
  <c r="K74" i="74" s="1"/>
  <c r="K144" i="74" s="1"/>
  <c r="K152" i="74" l="1"/>
  <c r="F155" i="74" l="1"/>
  <c r="F154" i="74"/>
  <c r="J150" i="72" l="1"/>
  <c r="I150" i="72"/>
  <c r="H150" i="72"/>
  <c r="H149" i="72"/>
  <c r="K148" i="72"/>
  <c r="G147" i="72"/>
  <c r="G145" i="72"/>
  <c r="G143" i="72"/>
  <c r="G141" i="72"/>
  <c r="J137" i="72"/>
  <c r="J149" i="72" s="1"/>
  <c r="I137" i="72"/>
  <c r="I149" i="72" s="1"/>
  <c r="H137" i="72"/>
  <c r="G137" i="72"/>
  <c r="G149" i="72" s="1"/>
  <c r="F137" i="72"/>
  <c r="F149" i="72" s="1"/>
  <c r="K135" i="72"/>
  <c r="K134" i="72"/>
  <c r="K133" i="72"/>
  <c r="K132" i="72"/>
  <c r="K131" i="72"/>
  <c r="K137" i="72" s="1"/>
  <c r="K149" i="72" s="1"/>
  <c r="F119" i="72"/>
  <c r="J108" i="72"/>
  <c r="J147" i="72" s="1"/>
  <c r="I108" i="72"/>
  <c r="I147" i="72" s="1"/>
  <c r="H108" i="72"/>
  <c r="H147" i="72" s="1"/>
  <c r="G108" i="72"/>
  <c r="F108" i="72"/>
  <c r="F147" i="72" s="1"/>
  <c r="K106" i="72"/>
  <c r="I106" i="72"/>
  <c r="I105" i="72"/>
  <c r="K105" i="72" s="1"/>
  <c r="K104" i="72"/>
  <c r="I104" i="72"/>
  <c r="I103" i="72"/>
  <c r="K103" i="72" s="1"/>
  <c r="K102" i="72"/>
  <c r="I102" i="72"/>
  <c r="J98" i="72"/>
  <c r="J146" i="72" s="1"/>
  <c r="I98" i="72"/>
  <c r="I146" i="72" s="1"/>
  <c r="H98" i="72"/>
  <c r="H146" i="72" s="1"/>
  <c r="G98" i="72"/>
  <c r="G146" i="72" s="1"/>
  <c r="F98" i="72"/>
  <c r="F146" i="72" s="1"/>
  <c r="K96" i="72"/>
  <c r="I96" i="72"/>
  <c r="K95" i="72"/>
  <c r="I95" i="72"/>
  <c r="K94" i="72"/>
  <c r="I94" i="72"/>
  <c r="K93" i="72"/>
  <c r="I93" i="72"/>
  <c r="K92" i="72"/>
  <c r="I92" i="72"/>
  <c r="K91" i="72"/>
  <c r="I91" i="72"/>
  <c r="K90" i="72"/>
  <c r="I90" i="72"/>
  <c r="K89" i="72"/>
  <c r="I89" i="72"/>
  <c r="K88" i="72"/>
  <c r="I88" i="72"/>
  <c r="K87" i="72"/>
  <c r="I87" i="72"/>
  <c r="K86" i="72"/>
  <c r="K98" i="72" s="1"/>
  <c r="K146" i="72" s="1"/>
  <c r="I86" i="72"/>
  <c r="J82" i="72"/>
  <c r="J145" i="72" s="1"/>
  <c r="G82" i="72"/>
  <c r="F82" i="72"/>
  <c r="F145" i="72" s="1"/>
  <c r="K80" i="72"/>
  <c r="I80" i="72"/>
  <c r="I79" i="72"/>
  <c r="K79" i="72" s="1"/>
  <c r="K78" i="72"/>
  <c r="I78" i="72"/>
  <c r="H77" i="72"/>
  <c r="H82" i="72" s="1"/>
  <c r="H145" i="72" s="1"/>
  <c r="J74" i="72"/>
  <c r="J144" i="72" s="1"/>
  <c r="H74" i="72"/>
  <c r="H144" i="72" s="1"/>
  <c r="G74" i="72"/>
  <c r="G144" i="72" s="1"/>
  <c r="F74" i="72"/>
  <c r="F144" i="72" s="1"/>
  <c r="I72" i="72"/>
  <c r="K72" i="72" s="1"/>
  <c r="I71" i="72"/>
  <c r="K71" i="72" s="1"/>
  <c r="I70" i="72"/>
  <c r="K70" i="72" s="1"/>
  <c r="I69" i="72"/>
  <c r="K69" i="72" s="1"/>
  <c r="I68" i="72"/>
  <c r="I74" i="72" s="1"/>
  <c r="I144" i="72" s="1"/>
  <c r="J64" i="72"/>
  <c r="J143" i="72" s="1"/>
  <c r="H64" i="72"/>
  <c r="H143" i="72" s="1"/>
  <c r="G64" i="72"/>
  <c r="F64" i="72"/>
  <c r="F143" i="72" s="1"/>
  <c r="I62" i="72"/>
  <c r="K62" i="72" s="1"/>
  <c r="I61" i="72"/>
  <c r="K61" i="72" s="1"/>
  <c r="I60" i="72"/>
  <c r="K60" i="72" s="1"/>
  <c r="I59" i="72"/>
  <c r="K59" i="72" s="1"/>
  <c r="I58" i="72"/>
  <c r="K58" i="72" s="1"/>
  <c r="I57" i="72"/>
  <c r="K57" i="72" s="1"/>
  <c r="B57" i="72"/>
  <c r="K56" i="72"/>
  <c r="I56" i="72"/>
  <c r="B56" i="72"/>
  <c r="I55" i="72"/>
  <c r="K55" i="72" s="1"/>
  <c r="B55" i="72"/>
  <c r="K54" i="72"/>
  <c r="I54" i="72"/>
  <c r="B54" i="72"/>
  <c r="I53" i="72"/>
  <c r="K53" i="72" s="1"/>
  <c r="B53" i="72"/>
  <c r="J49" i="72"/>
  <c r="J142" i="72" s="1"/>
  <c r="H49" i="72"/>
  <c r="H142" i="72" s="1"/>
  <c r="G49" i="72"/>
  <c r="G142" i="72" s="1"/>
  <c r="F49" i="72"/>
  <c r="F142" i="72" s="1"/>
  <c r="I47" i="72"/>
  <c r="K47" i="72" s="1"/>
  <c r="K46" i="72"/>
  <c r="I46" i="72"/>
  <c r="I45" i="72"/>
  <c r="K45" i="72" s="1"/>
  <c r="K44" i="72"/>
  <c r="I44" i="72"/>
  <c r="I43" i="72"/>
  <c r="K43" i="72" s="1"/>
  <c r="K42" i="72"/>
  <c r="I42" i="72"/>
  <c r="I41" i="72"/>
  <c r="K41" i="72" s="1"/>
  <c r="K40" i="72"/>
  <c r="I40" i="72"/>
  <c r="I49" i="72" s="1"/>
  <c r="I142" i="72" s="1"/>
  <c r="J36" i="72"/>
  <c r="J141" i="72" s="1"/>
  <c r="J152" i="72" s="1"/>
  <c r="I36" i="72"/>
  <c r="I141" i="72" s="1"/>
  <c r="H36" i="72"/>
  <c r="H141" i="72" s="1"/>
  <c r="G36" i="72"/>
  <c r="F36" i="72"/>
  <c r="F141" i="72" s="1"/>
  <c r="F152" i="72" s="1"/>
  <c r="K34" i="72"/>
  <c r="I34" i="72"/>
  <c r="I33" i="72"/>
  <c r="K33" i="72" s="1"/>
  <c r="K32" i="72"/>
  <c r="I32" i="72"/>
  <c r="I31" i="72"/>
  <c r="K31" i="72" s="1"/>
  <c r="K30" i="72"/>
  <c r="I30" i="72"/>
  <c r="I29" i="72"/>
  <c r="K29" i="72" s="1"/>
  <c r="K28" i="72"/>
  <c r="I28" i="72"/>
  <c r="I27" i="72"/>
  <c r="K27" i="72" s="1"/>
  <c r="K26" i="72"/>
  <c r="I26" i="72"/>
  <c r="I25" i="72"/>
  <c r="K25" i="72" s="1"/>
  <c r="K24" i="72"/>
  <c r="I24" i="72"/>
  <c r="I23" i="72"/>
  <c r="K23" i="72" s="1"/>
  <c r="K22" i="72"/>
  <c r="I22" i="72"/>
  <c r="I21" i="72"/>
  <c r="K21" i="72" s="1"/>
  <c r="K18" i="72"/>
  <c r="K150" i="72" s="1"/>
  <c r="K108" i="72" l="1"/>
  <c r="K147" i="72" s="1"/>
  <c r="H152" i="72"/>
  <c r="K49" i="72"/>
  <c r="K142" i="72" s="1"/>
  <c r="K64" i="72"/>
  <c r="K143" i="72" s="1"/>
  <c r="K36" i="72"/>
  <c r="K141" i="72" s="1"/>
  <c r="G152" i="72"/>
  <c r="I64" i="72"/>
  <c r="I143" i="72" s="1"/>
  <c r="I152" i="72" s="1"/>
  <c r="K68" i="72"/>
  <c r="K74" i="72" s="1"/>
  <c r="K144" i="72" s="1"/>
  <c r="I77" i="72"/>
  <c r="I82" i="72" s="1"/>
  <c r="I145" i="72" s="1"/>
  <c r="K77" i="72" l="1"/>
  <c r="K82" i="72" s="1"/>
  <c r="K145" i="72" s="1"/>
  <c r="K152" i="72"/>
  <c r="F155" i="72" l="1"/>
  <c r="F154" i="72"/>
  <c r="J150" i="73" l="1"/>
  <c r="I150" i="73"/>
  <c r="H150" i="73"/>
  <c r="J149" i="73"/>
  <c r="H149" i="73"/>
  <c r="F149" i="73"/>
  <c r="K148" i="73"/>
  <c r="G147" i="73"/>
  <c r="H146" i="73"/>
  <c r="J145" i="73"/>
  <c r="F145" i="73"/>
  <c r="H144" i="73"/>
  <c r="H142" i="73"/>
  <c r="J137" i="73"/>
  <c r="I137" i="73"/>
  <c r="I149" i="73" s="1"/>
  <c r="H137" i="73"/>
  <c r="G137" i="73"/>
  <c r="G149" i="73" s="1"/>
  <c r="F137" i="73"/>
  <c r="K135" i="73"/>
  <c r="K134" i="73"/>
  <c r="K133" i="73"/>
  <c r="K132" i="73"/>
  <c r="K131" i="73"/>
  <c r="K137" i="73" s="1"/>
  <c r="K149" i="73" s="1"/>
  <c r="I131" i="73"/>
  <c r="F119" i="73"/>
  <c r="J108" i="73"/>
  <c r="J147" i="73" s="1"/>
  <c r="H108" i="73"/>
  <c r="H147" i="73" s="1"/>
  <c r="G108" i="73"/>
  <c r="F108" i="73"/>
  <c r="F147" i="73" s="1"/>
  <c r="I106" i="73"/>
  <c r="K106" i="73" s="1"/>
  <c r="I105" i="73"/>
  <c r="K105" i="73" s="1"/>
  <c r="I104" i="73"/>
  <c r="K104" i="73" s="1"/>
  <c r="I103" i="73"/>
  <c r="K103" i="73" s="1"/>
  <c r="I102" i="73"/>
  <c r="I108" i="73" s="1"/>
  <c r="I147" i="73" s="1"/>
  <c r="J98" i="73"/>
  <c r="J146" i="73" s="1"/>
  <c r="H98" i="73"/>
  <c r="G98" i="73"/>
  <c r="G146" i="73" s="1"/>
  <c r="F98" i="73"/>
  <c r="F146" i="73" s="1"/>
  <c r="K96" i="73"/>
  <c r="I96" i="73"/>
  <c r="K95" i="73"/>
  <c r="I95" i="73"/>
  <c r="N94" i="73"/>
  <c r="I94" i="73"/>
  <c r="K94" i="73" s="1"/>
  <c r="I93" i="73"/>
  <c r="K93" i="73" s="1"/>
  <c r="I92" i="73"/>
  <c r="K92" i="73" s="1"/>
  <c r="I91" i="73"/>
  <c r="K91" i="73" s="1"/>
  <c r="I90" i="73"/>
  <c r="K90" i="73" s="1"/>
  <c r="I89" i="73"/>
  <c r="K89" i="73" s="1"/>
  <c r="I88" i="73"/>
  <c r="K88" i="73" s="1"/>
  <c r="I87" i="73"/>
  <c r="K87" i="73" s="1"/>
  <c r="I86" i="73"/>
  <c r="I98" i="73" s="1"/>
  <c r="I146" i="73" s="1"/>
  <c r="J82" i="73"/>
  <c r="I82" i="73"/>
  <c r="I145" i="73" s="1"/>
  <c r="H82" i="73"/>
  <c r="H145" i="73" s="1"/>
  <c r="G82" i="73"/>
  <c r="G145" i="73" s="1"/>
  <c r="F82" i="73"/>
  <c r="N80" i="73"/>
  <c r="N82" i="73" s="1"/>
  <c r="K80" i="73"/>
  <c r="K79" i="73"/>
  <c r="I79" i="73"/>
  <c r="K78" i="73"/>
  <c r="I78" i="73"/>
  <c r="K77" i="73"/>
  <c r="K82" i="73" s="1"/>
  <c r="K145" i="73" s="1"/>
  <c r="I77" i="73"/>
  <c r="J74" i="73"/>
  <c r="J144" i="73" s="1"/>
  <c r="I74" i="73"/>
  <c r="I144" i="73" s="1"/>
  <c r="H74" i="73"/>
  <c r="G74" i="73"/>
  <c r="G144" i="73" s="1"/>
  <c r="F74" i="73"/>
  <c r="F144" i="73" s="1"/>
  <c r="K72" i="73"/>
  <c r="K71" i="73"/>
  <c r="K70" i="73"/>
  <c r="K74" i="73" s="1"/>
  <c r="K144" i="73" s="1"/>
  <c r="K69" i="73"/>
  <c r="K68" i="73"/>
  <c r="I68" i="73"/>
  <c r="J64" i="73"/>
  <c r="J143" i="73" s="1"/>
  <c r="H64" i="73"/>
  <c r="H143" i="73" s="1"/>
  <c r="G64" i="73"/>
  <c r="G143" i="73" s="1"/>
  <c r="F64" i="73"/>
  <c r="F143" i="73" s="1"/>
  <c r="K62" i="73"/>
  <c r="K61" i="73"/>
  <c r="K60" i="73"/>
  <c r="I59" i="73"/>
  <c r="K59" i="73" s="1"/>
  <c r="K58" i="73"/>
  <c r="K57" i="73"/>
  <c r="K56" i="73"/>
  <c r="K55" i="73"/>
  <c r="I55" i="73"/>
  <c r="K54" i="73"/>
  <c r="K64" i="73" s="1"/>
  <c r="K143" i="73" s="1"/>
  <c r="I54" i="73"/>
  <c r="K53" i="73"/>
  <c r="I53" i="73"/>
  <c r="J49" i="73"/>
  <c r="J142" i="73" s="1"/>
  <c r="H49" i="73"/>
  <c r="G49" i="73"/>
  <c r="G142" i="73" s="1"/>
  <c r="F49" i="73"/>
  <c r="F142" i="73" s="1"/>
  <c r="K47" i="73"/>
  <c r="K46" i="73"/>
  <c r="K45" i="73"/>
  <c r="K44" i="73"/>
  <c r="K43" i="73"/>
  <c r="I42" i="73"/>
  <c r="K42" i="73" s="1"/>
  <c r="I41" i="73"/>
  <c r="K41" i="73" s="1"/>
  <c r="I40" i="73"/>
  <c r="I49" i="73" s="1"/>
  <c r="I142" i="73" s="1"/>
  <c r="J36" i="73"/>
  <c r="J141" i="73" s="1"/>
  <c r="J152" i="73" s="1"/>
  <c r="H36" i="73"/>
  <c r="H141" i="73" s="1"/>
  <c r="G36" i="73"/>
  <c r="G141" i="73" s="1"/>
  <c r="F36" i="73"/>
  <c r="F141" i="73" s="1"/>
  <c r="I34" i="73"/>
  <c r="K34" i="73" s="1"/>
  <c r="I33" i="73"/>
  <c r="K33" i="73" s="1"/>
  <c r="I32" i="73"/>
  <c r="K32" i="73" s="1"/>
  <c r="I31" i="73"/>
  <c r="K31" i="73" s="1"/>
  <c r="I30" i="73"/>
  <c r="K30" i="73" s="1"/>
  <c r="I29" i="73"/>
  <c r="K29" i="73" s="1"/>
  <c r="I28" i="73"/>
  <c r="K28" i="73" s="1"/>
  <c r="I27" i="73"/>
  <c r="K27" i="73" s="1"/>
  <c r="I26" i="73"/>
  <c r="K26" i="73" s="1"/>
  <c r="I25" i="73"/>
  <c r="K25" i="73" s="1"/>
  <c r="I24" i="73"/>
  <c r="K24" i="73" s="1"/>
  <c r="I23" i="73"/>
  <c r="K23" i="73" s="1"/>
  <c r="I22" i="73"/>
  <c r="K22" i="73" s="1"/>
  <c r="I21" i="73"/>
  <c r="K21" i="73" s="1"/>
  <c r="K18" i="73"/>
  <c r="K150" i="73" s="1"/>
  <c r="F152" i="73" l="1"/>
  <c r="G152" i="73"/>
  <c r="K36" i="73"/>
  <c r="K141" i="73" s="1"/>
  <c r="H152" i="73"/>
  <c r="I36" i="73"/>
  <c r="I141" i="73" s="1"/>
  <c r="K40" i="73"/>
  <c r="K49" i="73" s="1"/>
  <c r="K142" i="73" s="1"/>
  <c r="K86" i="73"/>
  <c r="K98" i="73" s="1"/>
  <c r="K146" i="73" s="1"/>
  <c r="N98" i="73"/>
  <c r="I64" i="73"/>
  <c r="I143" i="73" s="1"/>
  <c r="K102" i="73"/>
  <c r="K108" i="73" s="1"/>
  <c r="K147" i="73" s="1"/>
  <c r="I152" i="73" l="1"/>
  <c r="K152" i="73"/>
  <c r="F155" i="73" l="1"/>
  <c r="F154" i="73"/>
  <c r="J150" i="95" l="1"/>
  <c r="I150" i="95"/>
  <c r="I149" i="95"/>
  <c r="H149" i="95"/>
  <c r="K148" i="95"/>
  <c r="H147" i="95"/>
  <c r="J146" i="95"/>
  <c r="F146" i="95"/>
  <c r="H143" i="95"/>
  <c r="G143" i="95"/>
  <c r="G142" i="95"/>
  <c r="J137" i="95"/>
  <c r="J149" i="95" s="1"/>
  <c r="I137" i="95"/>
  <c r="H137" i="95"/>
  <c r="G137" i="95"/>
  <c r="G149" i="95" s="1"/>
  <c r="F137" i="95"/>
  <c r="F149" i="95" s="1"/>
  <c r="K135" i="95"/>
  <c r="K134" i="95"/>
  <c r="K133" i="95"/>
  <c r="K132" i="95"/>
  <c r="K137" i="95" s="1"/>
  <c r="K149" i="95" s="1"/>
  <c r="K131" i="95"/>
  <c r="F119" i="95"/>
  <c r="J108" i="95"/>
  <c r="J147" i="95" s="1"/>
  <c r="H108" i="95"/>
  <c r="G108" i="95"/>
  <c r="G147" i="95" s="1"/>
  <c r="F108" i="95"/>
  <c r="F147" i="95" s="1"/>
  <c r="K106" i="95"/>
  <c r="I106" i="95"/>
  <c r="I105" i="95"/>
  <c r="I108" i="95" s="1"/>
  <c r="I147" i="95" s="1"/>
  <c r="K104" i="95"/>
  <c r="K103" i="95"/>
  <c r="K102" i="95"/>
  <c r="J98" i="95"/>
  <c r="H98" i="95"/>
  <c r="H146" i="95" s="1"/>
  <c r="G98" i="95"/>
  <c r="G146" i="95" s="1"/>
  <c r="F98" i="95"/>
  <c r="I96" i="95"/>
  <c r="K96" i="95" s="1"/>
  <c r="K95" i="95"/>
  <c r="I95" i="95"/>
  <c r="I94" i="95"/>
  <c r="K94" i="95" s="1"/>
  <c r="K93" i="95"/>
  <c r="K92" i="95"/>
  <c r="I92" i="95"/>
  <c r="K91" i="95"/>
  <c r="K90" i="95"/>
  <c r="I90" i="95"/>
  <c r="I89" i="95"/>
  <c r="K89" i="95" s="1"/>
  <c r="K88" i="95"/>
  <c r="K87" i="95"/>
  <c r="I87" i="95"/>
  <c r="I86" i="95"/>
  <c r="I98" i="95" s="1"/>
  <c r="I146" i="95" s="1"/>
  <c r="J82" i="95"/>
  <c r="J145" i="95" s="1"/>
  <c r="I82" i="95"/>
  <c r="I145" i="95" s="1"/>
  <c r="H82" i="95"/>
  <c r="H145" i="95" s="1"/>
  <c r="G82" i="95"/>
  <c r="G145" i="95" s="1"/>
  <c r="F82" i="95"/>
  <c r="F145" i="95" s="1"/>
  <c r="K80" i="95"/>
  <c r="K79" i="95"/>
  <c r="K78" i="95"/>
  <c r="K82" i="95" s="1"/>
  <c r="K145" i="95" s="1"/>
  <c r="K77" i="95"/>
  <c r="J74" i="95"/>
  <c r="J144" i="95" s="1"/>
  <c r="I74" i="95"/>
  <c r="I144" i="95" s="1"/>
  <c r="H74" i="95"/>
  <c r="H144" i="95" s="1"/>
  <c r="G74" i="95"/>
  <c r="G144" i="95" s="1"/>
  <c r="F74" i="95"/>
  <c r="F144" i="95" s="1"/>
  <c r="K72" i="95"/>
  <c r="K71" i="95"/>
  <c r="K70" i="95"/>
  <c r="K69" i="95"/>
  <c r="K74" i="95" s="1"/>
  <c r="K144" i="95" s="1"/>
  <c r="K68" i="95"/>
  <c r="J64" i="95"/>
  <c r="J143" i="95" s="1"/>
  <c r="I64" i="95"/>
  <c r="I143" i="95" s="1"/>
  <c r="H64" i="95"/>
  <c r="G64" i="95"/>
  <c r="F64" i="95"/>
  <c r="F143" i="95" s="1"/>
  <c r="K62" i="95"/>
  <c r="K61" i="95"/>
  <c r="K60" i="95"/>
  <c r="K59" i="95"/>
  <c r="K58" i="95"/>
  <c r="K57" i="95"/>
  <c r="K56" i="95"/>
  <c r="K55" i="95"/>
  <c r="K54" i="95"/>
  <c r="K53" i="95"/>
  <c r="K64" i="95" s="1"/>
  <c r="K143" i="95" s="1"/>
  <c r="J49" i="95"/>
  <c r="J142" i="95" s="1"/>
  <c r="I49" i="95"/>
  <c r="I142" i="95" s="1"/>
  <c r="H49" i="95"/>
  <c r="H142" i="95" s="1"/>
  <c r="G49" i="95"/>
  <c r="F49" i="95"/>
  <c r="F142" i="95" s="1"/>
  <c r="K47" i="95"/>
  <c r="K46" i="95"/>
  <c r="K45" i="95"/>
  <c r="K44" i="95"/>
  <c r="K43" i="95"/>
  <c r="K42" i="95"/>
  <c r="K41" i="95"/>
  <c r="K40" i="95"/>
  <c r="K49" i="95" s="1"/>
  <c r="K142" i="95" s="1"/>
  <c r="J36" i="95"/>
  <c r="J141" i="95" s="1"/>
  <c r="H36" i="95"/>
  <c r="H141" i="95" s="1"/>
  <c r="G36" i="95"/>
  <c r="G141" i="95" s="1"/>
  <c r="G152" i="95" s="1"/>
  <c r="F36" i="95"/>
  <c r="F141" i="95" s="1"/>
  <c r="F152" i="95" s="1"/>
  <c r="I34" i="95"/>
  <c r="K34" i="95" s="1"/>
  <c r="K33" i="95"/>
  <c r="I33" i="95"/>
  <c r="I32" i="95"/>
  <c r="K32" i="95" s="1"/>
  <c r="K31" i="95"/>
  <c r="I31" i="95"/>
  <c r="K30" i="95"/>
  <c r="K29" i="95"/>
  <c r="K28" i="95"/>
  <c r="I28" i="95"/>
  <c r="I27" i="95"/>
  <c r="K27" i="95" s="1"/>
  <c r="K26" i="95"/>
  <c r="I26" i="95"/>
  <c r="I25" i="95"/>
  <c r="K25" i="95" s="1"/>
  <c r="K24" i="95"/>
  <c r="I24" i="95"/>
  <c r="I23" i="95"/>
  <c r="K23" i="95" s="1"/>
  <c r="K22" i="95"/>
  <c r="I22" i="95"/>
  <c r="I36" i="95" s="1"/>
  <c r="I141" i="95" s="1"/>
  <c r="K21" i="95"/>
  <c r="K18" i="95"/>
  <c r="K150" i="95" s="1"/>
  <c r="I152" i="95" l="1"/>
  <c r="K36" i="95"/>
  <c r="K141" i="95" s="1"/>
  <c r="H152" i="95"/>
  <c r="K108" i="95"/>
  <c r="K147" i="95" s="1"/>
  <c r="J152" i="95"/>
  <c r="K86" i="95"/>
  <c r="K98" i="95" s="1"/>
  <c r="K146" i="95" s="1"/>
  <c r="K105" i="95"/>
  <c r="K152" i="95" l="1"/>
  <c r="F154" i="95" l="1"/>
  <c r="F155" i="95"/>
  <c r="J150" i="71" l="1"/>
  <c r="I150" i="71"/>
  <c r="H150" i="71"/>
  <c r="J149" i="71"/>
  <c r="F149" i="71"/>
  <c r="I143" i="71"/>
  <c r="I142" i="71"/>
  <c r="G141" i="71"/>
  <c r="J137" i="71"/>
  <c r="I137" i="71"/>
  <c r="I149" i="71" s="1"/>
  <c r="H137" i="71"/>
  <c r="H149" i="71" s="1"/>
  <c r="G137" i="71"/>
  <c r="G149" i="71" s="1"/>
  <c r="F137" i="71"/>
  <c r="K135" i="71"/>
  <c r="K134" i="71"/>
  <c r="K133" i="71"/>
  <c r="K137" i="71" s="1"/>
  <c r="K149" i="71" s="1"/>
  <c r="K132" i="71"/>
  <c r="K131" i="71"/>
  <c r="F118" i="71"/>
  <c r="F117" i="71"/>
  <c r="F119" i="71" s="1"/>
  <c r="F123" i="71" s="1"/>
  <c r="F127" i="71" s="1"/>
  <c r="F114" i="71"/>
  <c r="I106" i="71" s="1"/>
  <c r="K106" i="71" s="1"/>
  <c r="F111" i="71"/>
  <c r="K148" i="71" s="1"/>
  <c r="J108" i="71"/>
  <c r="J147" i="71" s="1"/>
  <c r="H108" i="71"/>
  <c r="H147" i="71" s="1"/>
  <c r="G108" i="71"/>
  <c r="G147" i="71" s="1"/>
  <c r="F108" i="71"/>
  <c r="F147" i="71" s="1"/>
  <c r="I105" i="71"/>
  <c r="K105" i="71" s="1"/>
  <c r="K103" i="71"/>
  <c r="K102" i="71"/>
  <c r="J98" i="71"/>
  <c r="J146" i="71" s="1"/>
  <c r="H98" i="71"/>
  <c r="H146" i="71" s="1"/>
  <c r="G98" i="71"/>
  <c r="G146" i="71" s="1"/>
  <c r="F98" i="71"/>
  <c r="F146" i="71" s="1"/>
  <c r="I96" i="71"/>
  <c r="K96" i="71" s="1"/>
  <c r="I94" i="71"/>
  <c r="K94" i="71" s="1"/>
  <c r="K92" i="71"/>
  <c r="K91" i="71"/>
  <c r="K90" i="71"/>
  <c r="K89" i="71"/>
  <c r="K88" i="71"/>
  <c r="K87" i="71"/>
  <c r="J82" i="71"/>
  <c r="J145" i="71" s="1"/>
  <c r="I82" i="71"/>
  <c r="I145" i="71" s="1"/>
  <c r="H82" i="71"/>
  <c r="H145" i="71" s="1"/>
  <c r="G82" i="71"/>
  <c r="G145" i="71" s="1"/>
  <c r="F82" i="71"/>
  <c r="F145" i="71" s="1"/>
  <c r="K80" i="71"/>
  <c r="K79" i="71"/>
  <c r="K78" i="71"/>
  <c r="K77" i="71"/>
  <c r="K82" i="71" s="1"/>
  <c r="K145" i="71" s="1"/>
  <c r="J74" i="71"/>
  <c r="J144" i="71" s="1"/>
  <c r="I74" i="71"/>
  <c r="I144" i="71" s="1"/>
  <c r="H74" i="71"/>
  <c r="H144" i="71" s="1"/>
  <c r="G74" i="71"/>
  <c r="G144" i="71" s="1"/>
  <c r="F74" i="71"/>
  <c r="F144" i="71" s="1"/>
  <c r="K72" i="71"/>
  <c r="K71" i="71"/>
  <c r="K70" i="71"/>
  <c r="K74" i="71" s="1"/>
  <c r="K144" i="71" s="1"/>
  <c r="K69" i="71"/>
  <c r="K68" i="71"/>
  <c r="J64" i="71"/>
  <c r="J143" i="71" s="1"/>
  <c r="I64" i="71"/>
  <c r="H64" i="71"/>
  <c r="H143" i="71" s="1"/>
  <c r="G64" i="71"/>
  <c r="G143" i="71" s="1"/>
  <c r="F64" i="71"/>
  <c r="F143" i="71" s="1"/>
  <c r="K64" i="71"/>
  <c r="K143" i="71" s="1"/>
  <c r="J49" i="71"/>
  <c r="J142" i="71" s="1"/>
  <c r="I49" i="71"/>
  <c r="H49" i="71"/>
  <c r="H142" i="71" s="1"/>
  <c r="G49" i="71"/>
  <c r="G142" i="71" s="1"/>
  <c r="F49" i="71"/>
  <c r="F142" i="71" s="1"/>
  <c r="K47" i="71"/>
  <c r="K46" i="71"/>
  <c r="K45" i="71"/>
  <c r="K44" i="71"/>
  <c r="K43" i="71"/>
  <c r="K42" i="71"/>
  <c r="K41" i="71"/>
  <c r="K49" i="71" s="1"/>
  <c r="K142" i="71" s="1"/>
  <c r="K40" i="71"/>
  <c r="J36" i="71"/>
  <c r="J141" i="71" s="1"/>
  <c r="I36" i="71"/>
  <c r="I141" i="71" s="1"/>
  <c r="H36" i="71"/>
  <c r="H141" i="71" s="1"/>
  <c r="G36" i="71"/>
  <c r="F36" i="71"/>
  <c r="F141" i="71" s="1"/>
  <c r="K34" i="71"/>
  <c r="I34" i="71"/>
  <c r="I33" i="71"/>
  <c r="K33" i="71" s="1"/>
  <c r="K32" i="71"/>
  <c r="I32" i="71"/>
  <c r="I31" i="71"/>
  <c r="K31" i="71" s="1"/>
  <c r="K30" i="71"/>
  <c r="I30" i="71"/>
  <c r="I29" i="71"/>
  <c r="K29" i="71" s="1"/>
  <c r="K28" i="71"/>
  <c r="K27" i="71"/>
  <c r="K26" i="71"/>
  <c r="K25" i="71"/>
  <c r="K24" i="71"/>
  <c r="K23" i="71"/>
  <c r="K22" i="71"/>
  <c r="K21" i="71"/>
  <c r="K36" i="71" s="1"/>
  <c r="K141" i="71" s="1"/>
  <c r="K18" i="71"/>
  <c r="K150" i="71" s="1"/>
  <c r="F152" i="71" l="1"/>
  <c r="J152" i="71"/>
  <c r="G152" i="71"/>
  <c r="H152" i="71"/>
  <c r="I86" i="71"/>
  <c r="I93" i="71"/>
  <c r="K93" i="71" s="1"/>
  <c r="I95" i="71"/>
  <c r="K95" i="71" s="1"/>
  <c r="I104" i="71"/>
  <c r="K86" i="71" l="1"/>
  <c r="K98" i="71" s="1"/>
  <c r="K146" i="71" s="1"/>
  <c r="K152" i="71" s="1"/>
  <c r="I98" i="71"/>
  <c r="I146" i="71" s="1"/>
  <c r="I152" i="71" s="1"/>
  <c r="I108" i="71"/>
  <c r="I147" i="71" s="1"/>
  <c r="K104" i="71"/>
  <c r="K108" i="71" s="1"/>
  <c r="K147" i="71" s="1"/>
  <c r="F155" i="71" l="1"/>
  <c r="F154" i="71"/>
  <c r="J150" i="105" l="1"/>
  <c r="I150" i="105"/>
  <c r="H150" i="105"/>
  <c r="H149" i="105"/>
  <c r="G149" i="105"/>
  <c r="K148" i="105"/>
  <c r="H147" i="105"/>
  <c r="H145" i="105"/>
  <c r="G145" i="105"/>
  <c r="H143" i="105"/>
  <c r="G141" i="105"/>
  <c r="J137" i="105"/>
  <c r="J149" i="105" s="1"/>
  <c r="I137" i="105"/>
  <c r="I149" i="105" s="1"/>
  <c r="H137" i="105"/>
  <c r="G137" i="105"/>
  <c r="F137" i="105"/>
  <c r="F149" i="105" s="1"/>
  <c r="K135" i="105"/>
  <c r="K134" i="105"/>
  <c r="K133" i="105"/>
  <c r="K132" i="105"/>
  <c r="K131" i="105"/>
  <c r="K137" i="105" s="1"/>
  <c r="K149" i="105" s="1"/>
  <c r="F119" i="105"/>
  <c r="J108" i="105"/>
  <c r="I108" i="105"/>
  <c r="I147" i="105" s="1"/>
  <c r="H108" i="105"/>
  <c r="G108" i="105"/>
  <c r="F108" i="105"/>
  <c r="F147" i="105" s="1"/>
  <c r="K106" i="105"/>
  <c r="I106" i="105"/>
  <c r="I105" i="105"/>
  <c r="K105" i="105" s="1"/>
  <c r="K104" i="105"/>
  <c r="I104" i="105"/>
  <c r="I103" i="105"/>
  <c r="K103" i="105" s="1"/>
  <c r="K102" i="105"/>
  <c r="K108" i="105" s="1"/>
  <c r="K147" i="105" s="1"/>
  <c r="I102" i="105"/>
  <c r="J98" i="105"/>
  <c r="J146" i="105" s="1"/>
  <c r="I98" i="105"/>
  <c r="I146" i="105" s="1"/>
  <c r="H98" i="105"/>
  <c r="H146" i="105" s="1"/>
  <c r="G98" i="105"/>
  <c r="G146" i="105" s="1"/>
  <c r="F98" i="105"/>
  <c r="F146" i="105" s="1"/>
  <c r="K96" i="105"/>
  <c r="I96" i="105"/>
  <c r="I95" i="105"/>
  <c r="K95" i="105" s="1"/>
  <c r="K94" i="105"/>
  <c r="I94" i="105"/>
  <c r="I93" i="105"/>
  <c r="K93" i="105" s="1"/>
  <c r="K92" i="105"/>
  <c r="I92" i="105"/>
  <c r="I91" i="105"/>
  <c r="K91" i="105" s="1"/>
  <c r="K90" i="105"/>
  <c r="I90" i="105"/>
  <c r="I89" i="105"/>
  <c r="K89" i="105" s="1"/>
  <c r="K88" i="105"/>
  <c r="I88" i="105"/>
  <c r="I87" i="105"/>
  <c r="K87" i="105" s="1"/>
  <c r="K86" i="105"/>
  <c r="I86" i="105"/>
  <c r="J82" i="105"/>
  <c r="J145" i="105" s="1"/>
  <c r="I82" i="105"/>
  <c r="I145" i="105" s="1"/>
  <c r="H82" i="105"/>
  <c r="G82" i="105"/>
  <c r="F82" i="105"/>
  <c r="F145" i="105" s="1"/>
  <c r="K80" i="105"/>
  <c r="I80" i="105"/>
  <c r="I79" i="105"/>
  <c r="K79" i="105" s="1"/>
  <c r="K78" i="105"/>
  <c r="I77" i="105"/>
  <c r="K77" i="105" s="1"/>
  <c r="J74" i="105"/>
  <c r="J144" i="105" s="1"/>
  <c r="H74" i="105"/>
  <c r="H144" i="105" s="1"/>
  <c r="G74" i="105"/>
  <c r="G144" i="105" s="1"/>
  <c r="F74" i="105"/>
  <c r="F144" i="105" s="1"/>
  <c r="K72" i="105"/>
  <c r="K71" i="105"/>
  <c r="K70" i="105"/>
  <c r="K69" i="105"/>
  <c r="I68" i="105"/>
  <c r="I74" i="105" s="1"/>
  <c r="I144" i="105" s="1"/>
  <c r="J143" i="105"/>
  <c r="G64" i="105"/>
  <c r="G143" i="105" s="1"/>
  <c r="F64" i="105"/>
  <c r="F143" i="105" s="1"/>
  <c r="I61" i="105"/>
  <c r="I60" i="105"/>
  <c r="I59" i="105"/>
  <c r="I57" i="105"/>
  <c r="I56" i="105"/>
  <c r="I55" i="105"/>
  <c r="I53" i="105"/>
  <c r="I143" i="105" s="1"/>
  <c r="J49" i="105"/>
  <c r="J142" i="105" s="1"/>
  <c r="H49" i="105"/>
  <c r="H142" i="105" s="1"/>
  <c r="G49" i="105"/>
  <c r="G142" i="105" s="1"/>
  <c r="F49" i="105"/>
  <c r="F142" i="105" s="1"/>
  <c r="K47" i="105"/>
  <c r="I46" i="105"/>
  <c r="K46" i="105" s="1"/>
  <c r="K45" i="105"/>
  <c r="K44" i="105"/>
  <c r="I44" i="105"/>
  <c r="K43" i="105"/>
  <c r="I42" i="105"/>
  <c r="K42" i="105" s="1"/>
  <c r="I41" i="105"/>
  <c r="K41" i="105" s="1"/>
  <c r="I40" i="105"/>
  <c r="K40" i="105" s="1"/>
  <c r="J36" i="105"/>
  <c r="J141" i="105" s="1"/>
  <c r="J152" i="105" s="1"/>
  <c r="H36" i="105"/>
  <c r="H141" i="105" s="1"/>
  <c r="G36" i="105"/>
  <c r="F36" i="105"/>
  <c r="F141" i="105" s="1"/>
  <c r="I34" i="105"/>
  <c r="K34" i="105" s="1"/>
  <c r="K33" i="105"/>
  <c r="I32" i="105"/>
  <c r="K32" i="105" s="1"/>
  <c r="K31" i="105"/>
  <c r="I31" i="105"/>
  <c r="I30" i="105"/>
  <c r="K30" i="105" s="1"/>
  <c r="K29" i="105"/>
  <c r="I29" i="105"/>
  <c r="I28" i="105"/>
  <c r="K28" i="105" s="1"/>
  <c r="K27" i="105"/>
  <c r="I27" i="105"/>
  <c r="I26" i="105"/>
  <c r="K26" i="105" s="1"/>
  <c r="K25" i="105"/>
  <c r="I25" i="105"/>
  <c r="I24" i="105"/>
  <c r="K24" i="105" s="1"/>
  <c r="K23" i="105"/>
  <c r="I23" i="105"/>
  <c r="I22" i="105"/>
  <c r="K22" i="105" s="1"/>
  <c r="K21" i="105"/>
  <c r="I21" i="105"/>
  <c r="K18" i="105"/>
  <c r="K150" i="105" s="1"/>
  <c r="F152" i="105" l="1"/>
  <c r="K49" i="105"/>
  <c r="K142" i="105" s="1"/>
  <c r="K36" i="105"/>
  <c r="K141" i="105" s="1"/>
  <c r="K98" i="105"/>
  <c r="K146" i="105" s="1"/>
  <c r="H152" i="105"/>
  <c r="K143" i="105"/>
  <c r="K82" i="105"/>
  <c r="K145" i="105" s="1"/>
  <c r="G152" i="105"/>
  <c r="I49" i="105"/>
  <c r="I142" i="105" s="1"/>
  <c r="I36" i="105"/>
  <c r="I141" i="105" s="1"/>
  <c r="I152" i="105" s="1"/>
  <c r="K68" i="105"/>
  <c r="K74" i="105" s="1"/>
  <c r="K144" i="105" s="1"/>
  <c r="K152" i="105" l="1"/>
  <c r="F155" i="105" l="1"/>
  <c r="F154" i="105"/>
  <c r="K150" i="80" l="1"/>
  <c r="J150" i="80"/>
  <c r="I150" i="80"/>
  <c r="H150" i="80"/>
  <c r="J149" i="80"/>
  <c r="F149" i="80"/>
  <c r="K148" i="80"/>
  <c r="J147" i="80"/>
  <c r="F147" i="80"/>
  <c r="I145" i="80"/>
  <c r="G144" i="80"/>
  <c r="J143" i="80"/>
  <c r="G143" i="80"/>
  <c r="F143" i="80"/>
  <c r="G142" i="80"/>
  <c r="J137" i="80"/>
  <c r="I137" i="80"/>
  <c r="I149" i="80" s="1"/>
  <c r="H137" i="80"/>
  <c r="H149" i="80" s="1"/>
  <c r="G137" i="80"/>
  <c r="G149" i="80" s="1"/>
  <c r="F137" i="80"/>
  <c r="K135" i="80"/>
  <c r="K134" i="80"/>
  <c r="K133" i="80"/>
  <c r="K137" i="80" s="1"/>
  <c r="K149" i="80" s="1"/>
  <c r="K132" i="80"/>
  <c r="K131" i="80"/>
  <c r="F119" i="80"/>
  <c r="J108" i="80"/>
  <c r="H108" i="80"/>
  <c r="H147" i="80" s="1"/>
  <c r="G108" i="80"/>
  <c r="G147" i="80" s="1"/>
  <c r="F108" i="80"/>
  <c r="I106" i="80"/>
  <c r="K106" i="80" s="1"/>
  <c r="K105" i="80"/>
  <c r="I105" i="80"/>
  <c r="I104" i="80"/>
  <c r="K104" i="80" s="1"/>
  <c r="K103" i="80"/>
  <c r="I103" i="80"/>
  <c r="I102" i="80"/>
  <c r="I108" i="80" s="1"/>
  <c r="I147" i="80" s="1"/>
  <c r="J98" i="80"/>
  <c r="J146" i="80" s="1"/>
  <c r="H98" i="80"/>
  <c r="H146" i="80" s="1"/>
  <c r="G98" i="80"/>
  <c r="G146" i="80" s="1"/>
  <c r="F98" i="80"/>
  <c r="F146" i="80" s="1"/>
  <c r="I96" i="80"/>
  <c r="K96" i="80" s="1"/>
  <c r="K95" i="80"/>
  <c r="I95" i="80"/>
  <c r="I94" i="80"/>
  <c r="K94" i="80" s="1"/>
  <c r="K93" i="80"/>
  <c r="I93" i="80"/>
  <c r="I92" i="80"/>
  <c r="K92" i="80" s="1"/>
  <c r="K91" i="80"/>
  <c r="I91" i="80"/>
  <c r="I90" i="80"/>
  <c r="K90" i="80" s="1"/>
  <c r="K89" i="80"/>
  <c r="I89" i="80"/>
  <c r="I88" i="80"/>
  <c r="I98" i="80" s="1"/>
  <c r="I146" i="80" s="1"/>
  <c r="K87" i="80"/>
  <c r="I87" i="80"/>
  <c r="K86" i="80"/>
  <c r="J82" i="80"/>
  <c r="J145" i="80" s="1"/>
  <c r="I82" i="80"/>
  <c r="H82" i="80"/>
  <c r="H145" i="80" s="1"/>
  <c r="G82" i="80"/>
  <c r="G145" i="80" s="1"/>
  <c r="F82" i="80"/>
  <c r="F145" i="80" s="1"/>
  <c r="K80" i="80"/>
  <c r="K79" i="80"/>
  <c r="K78" i="80"/>
  <c r="K77" i="80"/>
  <c r="K82" i="80" s="1"/>
  <c r="K145" i="80" s="1"/>
  <c r="J74" i="80"/>
  <c r="J144" i="80" s="1"/>
  <c r="H74" i="80"/>
  <c r="H144" i="80" s="1"/>
  <c r="G74" i="80"/>
  <c r="F74" i="80"/>
  <c r="F144" i="80" s="1"/>
  <c r="K72" i="80"/>
  <c r="K71" i="80"/>
  <c r="K70" i="80"/>
  <c r="K69" i="80"/>
  <c r="I68" i="80"/>
  <c r="I74" i="80" s="1"/>
  <c r="I144" i="80" s="1"/>
  <c r="J64" i="80"/>
  <c r="H64" i="80"/>
  <c r="H143" i="80" s="1"/>
  <c r="G64" i="80"/>
  <c r="F64" i="80"/>
  <c r="K62" i="80"/>
  <c r="K61" i="80"/>
  <c r="K60" i="80"/>
  <c r="K59" i="80"/>
  <c r="K58" i="80"/>
  <c r="K57" i="80"/>
  <c r="I56" i="80"/>
  <c r="K56" i="80" s="1"/>
  <c r="I55" i="80"/>
  <c r="K55" i="80" s="1"/>
  <c r="I54" i="80"/>
  <c r="K54" i="80" s="1"/>
  <c r="I53" i="80"/>
  <c r="I64" i="80" s="1"/>
  <c r="I143" i="80" s="1"/>
  <c r="J49" i="80"/>
  <c r="J142" i="80" s="1"/>
  <c r="I49" i="80"/>
  <c r="I142" i="80" s="1"/>
  <c r="H49" i="80"/>
  <c r="H142" i="80" s="1"/>
  <c r="G49" i="80"/>
  <c r="F49" i="80"/>
  <c r="F142" i="80" s="1"/>
  <c r="K47" i="80"/>
  <c r="K46" i="80"/>
  <c r="K45" i="80"/>
  <c r="K44" i="80"/>
  <c r="K43" i="80"/>
  <c r="K42" i="80"/>
  <c r="K41" i="80"/>
  <c r="K40" i="80"/>
  <c r="K49" i="80" s="1"/>
  <c r="K142" i="80" s="1"/>
  <c r="J36" i="80"/>
  <c r="J141" i="80" s="1"/>
  <c r="H36" i="80"/>
  <c r="H141" i="80" s="1"/>
  <c r="G36" i="80"/>
  <c r="G141" i="80" s="1"/>
  <c r="G152" i="80" s="1"/>
  <c r="F36" i="80"/>
  <c r="F141" i="80" s="1"/>
  <c r="F152" i="80" s="1"/>
  <c r="I34" i="80"/>
  <c r="K34" i="80" s="1"/>
  <c r="I33" i="80"/>
  <c r="K33" i="80" s="1"/>
  <c r="I32" i="80"/>
  <c r="K32" i="80" s="1"/>
  <c r="I31" i="80"/>
  <c r="K31" i="80" s="1"/>
  <c r="I30" i="80"/>
  <c r="K30" i="80" s="1"/>
  <c r="I29" i="80"/>
  <c r="K29" i="80" s="1"/>
  <c r="I28" i="80"/>
  <c r="K28" i="80" s="1"/>
  <c r="I27" i="80"/>
  <c r="K27" i="80" s="1"/>
  <c r="I26" i="80"/>
  <c r="K26" i="80" s="1"/>
  <c r="I25" i="80"/>
  <c r="K25" i="80" s="1"/>
  <c r="I24" i="80"/>
  <c r="K24" i="80" s="1"/>
  <c r="I23" i="80"/>
  <c r="K23" i="80" s="1"/>
  <c r="I22" i="80"/>
  <c r="K22" i="80" s="1"/>
  <c r="I21" i="80"/>
  <c r="K21" i="80" s="1"/>
  <c r="K18" i="80"/>
  <c r="K36" i="80" l="1"/>
  <c r="K141" i="80" s="1"/>
  <c r="H152" i="80"/>
  <c r="J152" i="80"/>
  <c r="K53" i="80"/>
  <c r="K64" i="80" s="1"/>
  <c r="K143" i="80" s="1"/>
  <c r="K88" i="80"/>
  <c r="K98" i="80" s="1"/>
  <c r="K146" i="80" s="1"/>
  <c r="K102" i="80"/>
  <c r="K108" i="80" s="1"/>
  <c r="K147" i="80" s="1"/>
  <c r="I36" i="80"/>
  <c r="I141" i="80" s="1"/>
  <c r="I152" i="80" s="1"/>
  <c r="K68" i="80"/>
  <c r="K74" i="80" s="1"/>
  <c r="K144" i="80" s="1"/>
  <c r="K152" i="80" l="1"/>
  <c r="F155" i="80" l="1"/>
  <c r="F154" i="80"/>
  <c r="F155" i="75" l="1"/>
  <c r="F154" i="75"/>
  <c r="K150" i="67" l="1"/>
  <c r="J150" i="67"/>
  <c r="I150" i="67"/>
  <c r="H150" i="67"/>
  <c r="J149" i="67"/>
  <c r="F149" i="67"/>
  <c r="K148" i="67"/>
  <c r="J147" i="67"/>
  <c r="F147" i="67"/>
  <c r="J145" i="67"/>
  <c r="I145" i="67"/>
  <c r="F145" i="67"/>
  <c r="H144" i="67"/>
  <c r="G144" i="67"/>
  <c r="J143" i="67"/>
  <c r="G143" i="67"/>
  <c r="F143" i="67"/>
  <c r="G142" i="67"/>
  <c r="J137" i="67"/>
  <c r="I137" i="67"/>
  <c r="I149" i="67" s="1"/>
  <c r="H137" i="67"/>
  <c r="H149" i="67" s="1"/>
  <c r="G137" i="67"/>
  <c r="G149" i="67" s="1"/>
  <c r="F137" i="67"/>
  <c r="K135" i="67"/>
  <c r="K134" i="67"/>
  <c r="K133" i="67"/>
  <c r="K137" i="67" s="1"/>
  <c r="K149" i="67" s="1"/>
  <c r="K132" i="67"/>
  <c r="K131" i="67"/>
  <c r="F119" i="67"/>
  <c r="J108" i="67"/>
  <c r="H108" i="67"/>
  <c r="H147" i="67" s="1"/>
  <c r="G108" i="67"/>
  <c r="G147" i="67" s="1"/>
  <c r="F108" i="67"/>
  <c r="I106" i="67"/>
  <c r="K106" i="67" s="1"/>
  <c r="K105" i="67"/>
  <c r="I105" i="67"/>
  <c r="I104" i="67"/>
  <c r="K104" i="67" s="1"/>
  <c r="K103" i="67"/>
  <c r="I103" i="67"/>
  <c r="I102" i="67"/>
  <c r="I108" i="67" s="1"/>
  <c r="I147" i="67" s="1"/>
  <c r="J98" i="67"/>
  <c r="J146" i="67" s="1"/>
  <c r="H98" i="67"/>
  <c r="H146" i="67" s="1"/>
  <c r="G98" i="67"/>
  <c r="G146" i="67" s="1"/>
  <c r="F98" i="67"/>
  <c r="F146" i="67" s="1"/>
  <c r="I96" i="67"/>
  <c r="K96" i="67" s="1"/>
  <c r="K95" i="67"/>
  <c r="I95" i="67"/>
  <c r="I94" i="67"/>
  <c r="K94" i="67" s="1"/>
  <c r="K93" i="67"/>
  <c r="I93" i="67"/>
  <c r="I92" i="67"/>
  <c r="K92" i="67" s="1"/>
  <c r="K91" i="67"/>
  <c r="I91" i="67"/>
  <c r="I90" i="67"/>
  <c r="K90" i="67" s="1"/>
  <c r="K89" i="67"/>
  <c r="I89" i="67"/>
  <c r="I88" i="67"/>
  <c r="K88" i="67" s="1"/>
  <c r="K87" i="67"/>
  <c r="I87" i="67"/>
  <c r="I86" i="67"/>
  <c r="I98" i="67" s="1"/>
  <c r="I146" i="67" s="1"/>
  <c r="J82" i="67"/>
  <c r="I82" i="67"/>
  <c r="H82" i="67"/>
  <c r="H145" i="67" s="1"/>
  <c r="G82" i="67"/>
  <c r="G145" i="67" s="1"/>
  <c r="F82" i="67"/>
  <c r="K80" i="67"/>
  <c r="K79" i="67"/>
  <c r="K78" i="67"/>
  <c r="K82" i="67" s="1"/>
  <c r="K145" i="67" s="1"/>
  <c r="K77" i="67"/>
  <c r="J74" i="67"/>
  <c r="J144" i="67" s="1"/>
  <c r="I74" i="67"/>
  <c r="I144" i="67" s="1"/>
  <c r="H74" i="67"/>
  <c r="G74" i="67"/>
  <c r="F74" i="67"/>
  <c r="F144" i="67" s="1"/>
  <c r="K72" i="67"/>
  <c r="K71" i="67"/>
  <c r="K70" i="67"/>
  <c r="K69" i="67"/>
  <c r="K68" i="67"/>
  <c r="K74" i="67" s="1"/>
  <c r="K144" i="67" s="1"/>
  <c r="J64" i="67"/>
  <c r="I64" i="67"/>
  <c r="I143" i="67" s="1"/>
  <c r="H64" i="67"/>
  <c r="H143" i="67" s="1"/>
  <c r="G64" i="67"/>
  <c r="F64" i="67"/>
  <c r="K62" i="67"/>
  <c r="K61" i="67"/>
  <c r="K60" i="67"/>
  <c r="K59" i="67"/>
  <c r="K58" i="67"/>
  <c r="K57" i="67"/>
  <c r="K56" i="67"/>
  <c r="K55" i="67"/>
  <c r="K54" i="67"/>
  <c r="K53" i="67"/>
  <c r="K64" i="67" s="1"/>
  <c r="K143" i="67" s="1"/>
  <c r="J49" i="67"/>
  <c r="J142" i="67" s="1"/>
  <c r="I49" i="67"/>
  <c r="I142" i="67" s="1"/>
  <c r="H49" i="67"/>
  <c r="H142" i="67" s="1"/>
  <c r="G49" i="67"/>
  <c r="F49" i="67"/>
  <c r="F142" i="67" s="1"/>
  <c r="K47" i="67"/>
  <c r="K46" i="67"/>
  <c r="K45" i="67"/>
  <c r="K44" i="67"/>
  <c r="K43" i="67"/>
  <c r="K42" i="67"/>
  <c r="K41" i="67"/>
  <c r="K40" i="67"/>
  <c r="K49" i="67" s="1"/>
  <c r="K142" i="67" s="1"/>
  <c r="J36" i="67"/>
  <c r="J141" i="67" s="1"/>
  <c r="H36" i="67"/>
  <c r="H141" i="67" s="1"/>
  <c r="G36" i="67"/>
  <c r="G141" i="67" s="1"/>
  <c r="G152" i="67" s="1"/>
  <c r="F36" i="67"/>
  <c r="F141" i="67" s="1"/>
  <c r="I34" i="67"/>
  <c r="K34" i="67" s="1"/>
  <c r="I33" i="67"/>
  <c r="K33" i="67" s="1"/>
  <c r="I32" i="67"/>
  <c r="K32" i="67" s="1"/>
  <c r="I31" i="67"/>
  <c r="K31" i="67" s="1"/>
  <c r="I30" i="67"/>
  <c r="K30" i="67" s="1"/>
  <c r="I29" i="67"/>
  <c r="K29" i="67" s="1"/>
  <c r="I28" i="67"/>
  <c r="K28" i="67" s="1"/>
  <c r="I27" i="67"/>
  <c r="K27" i="67" s="1"/>
  <c r="I26" i="67"/>
  <c r="K26" i="67" s="1"/>
  <c r="I25" i="67"/>
  <c r="K25" i="67" s="1"/>
  <c r="I24" i="67"/>
  <c r="K24" i="67" s="1"/>
  <c r="I23" i="67"/>
  <c r="K23" i="67" s="1"/>
  <c r="I22" i="67"/>
  <c r="K22" i="67" s="1"/>
  <c r="I21" i="67"/>
  <c r="I36" i="67" s="1"/>
  <c r="I141" i="67" s="1"/>
  <c r="I152" i="67" s="1"/>
  <c r="H152" i="67" l="1"/>
  <c r="J152" i="67"/>
  <c r="F152" i="67"/>
  <c r="K21" i="67"/>
  <c r="K36" i="67" s="1"/>
  <c r="K141" i="67" s="1"/>
  <c r="K86" i="67"/>
  <c r="K98" i="67" s="1"/>
  <c r="K146" i="67" s="1"/>
  <c r="K102" i="67"/>
  <c r="K108" i="67" s="1"/>
  <c r="K147" i="67" s="1"/>
  <c r="K152" i="67" l="1"/>
  <c r="F155" i="67" l="1"/>
  <c r="F154" i="67"/>
  <c r="J150" i="78" l="1"/>
  <c r="I150" i="78"/>
  <c r="H150" i="78"/>
  <c r="J149" i="78"/>
  <c r="K148" i="78"/>
  <c r="J147" i="78"/>
  <c r="H146" i="78"/>
  <c r="G146" i="78"/>
  <c r="G144" i="78"/>
  <c r="J142" i="78"/>
  <c r="J141" i="78"/>
  <c r="F141" i="78"/>
  <c r="I137" i="78"/>
  <c r="I149" i="78" s="1"/>
  <c r="H137" i="78"/>
  <c r="H149" i="78" s="1"/>
  <c r="G137" i="78"/>
  <c r="G149" i="78" s="1"/>
  <c r="F137" i="78"/>
  <c r="F149" i="78" s="1"/>
  <c r="K135" i="78"/>
  <c r="K134" i="78"/>
  <c r="K133" i="78"/>
  <c r="K132" i="78"/>
  <c r="K137" i="78" s="1"/>
  <c r="K149" i="78" s="1"/>
  <c r="K131" i="78"/>
  <c r="F119" i="78"/>
  <c r="F123" i="78" s="1"/>
  <c r="F127" i="78" s="1"/>
  <c r="G108" i="78"/>
  <c r="G147" i="78" s="1"/>
  <c r="I106" i="78"/>
  <c r="K106" i="78" s="1"/>
  <c r="K105" i="78"/>
  <c r="I105" i="78"/>
  <c r="I104" i="78"/>
  <c r="K104" i="78" s="1"/>
  <c r="K103" i="78"/>
  <c r="I103" i="78"/>
  <c r="H102" i="78"/>
  <c r="H108" i="78" s="1"/>
  <c r="H147" i="78" s="1"/>
  <c r="F102" i="78"/>
  <c r="F108" i="78" s="1"/>
  <c r="F147" i="78" s="1"/>
  <c r="J98" i="78"/>
  <c r="J146" i="78" s="1"/>
  <c r="I98" i="78"/>
  <c r="I146" i="78" s="1"/>
  <c r="H98" i="78"/>
  <c r="G98" i="78"/>
  <c r="F98" i="78"/>
  <c r="F146" i="78" s="1"/>
  <c r="K96" i="78"/>
  <c r="I96" i="78"/>
  <c r="I95" i="78"/>
  <c r="K95" i="78" s="1"/>
  <c r="K94" i="78"/>
  <c r="I94" i="78"/>
  <c r="I93" i="78"/>
  <c r="K93" i="78" s="1"/>
  <c r="K92" i="78"/>
  <c r="I92" i="78"/>
  <c r="I91" i="78"/>
  <c r="K91" i="78" s="1"/>
  <c r="K90" i="78"/>
  <c r="I90" i="78"/>
  <c r="I89" i="78"/>
  <c r="K89" i="78" s="1"/>
  <c r="K88" i="78"/>
  <c r="I88" i="78"/>
  <c r="I87" i="78"/>
  <c r="K87" i="78" s="1"/>
  <c r="K86" i="78"/>
  <c r="I86" i="78"/>
  <c r="J82" i="78"/>
  <c r="J145" i="78" s="1"/>
  <c r="I82" i="78"/>
  <c r="I145" i="78" s="1"/>
  <c r="H82" i="78"/>
  <c r="H145" i="78" s="1"/>
  <c r="G82" i="78"/>
  <c r="G145" i="78" s="1"/>
  <c r="F82" i="78"/>
  <c r="F145" i="78" s="1"/>
  <c r="K80" i="78"/>
  <c r="I80" i="78"/>
  <c r="I79" i="78"/>
  <c r="K79" i="78" s="1"/>
  <c r="K78" i="78"/>
  <c r="I77" i="78"/>
  <c r="K77" i="78" s="1"/>
  <c r="J74" i="78"/>
  <c r="J144" i="78" s="1"/>
  <c r="H74" i="78"/>
  <c r="H144" i="78" s="1"/>
  <c r="G74" i="78"/>
  <c r="F74" i="78"/>
  <c r="F144" i="78" s="1"/>
  <c r="K72" i="78"/>
  <c r="K71" i="78"/>
  <c r="K70" i="78"/>
  <c r="K69" i="78"/>
  <c r="K74" i="78" s="1"/>
  <c r="K144" i="78" s="1"/>
  <c r="I69" i="78"/>
  <c r="I74" i="78" s="1"/>
  <c r="I144" i="78" s="1"/>
  <c r="K68" i="78"/>
  <c r="J64" i="78"/>
  <c r="J143" i="78" s="1"/>
  <c r="H64" i="78"/>
  <c r="H143" i="78" s="1"/>
  <c r="G64" i="78"/>
  <c r="G143" i="78" s="1"/>
  <c r="F64" i="78"/>
  <c r="F143" i="78" s="1"/>
  <c r="I62" i="78"/>
  <c r="K62" i="78" s="1"/>
  <c r="I61" i="78"/>
  <c r="K61" i="78" s="1"/>
  <c r="I60" i="78"/>
  <c r="K60" i="78" s="1"/>
  <c r="I59" i="78"/>
  <c r="K59" i="78" s="1"/>
  <c r="I58" i="78"/>
  <c r="K58" i="78" s="1"/>
  <c r="I57" i="78"/>
  <c r="K57" i="78" s="1"/>
  <c r="I56" i="78"/>
  <c r="K56" i="78" s="1"/>
  <c r="I55" i="78"/>
  <c r="K55" i="78" s="1"/>
  <c r="I54" i="78"/>
  <c r="K54" i="78" s="1"/>
  <c r="I53" i="78"/>
  <c r="K53" i="78" s="1"/>
  <c r="H49" i="78"/>
  <c r="H142" i="78" s="1"/>
  <c r="G49" i="78"/>
  <c r="G142" i="78" s="1"/>
  <c r="F49" i="78"/>
  <c r="F142" i="78" s="1"/>
  <c r="K47" i="78"/>
  <c r="K46" i="78"/>
  <c r="K45" i="78"/>
  <c r="K44" i="78"/>
  <c r="K43" i="78"/>
  <c r="I42" i="78"/>
  <c r="K42" i="78" s="1"/>
  <c r="I41" i="78"/>
  <c r="K41" i="78" s="1"/>
  <c r="I40" i="78"/>
  <c r="K40" i="78" s="1"/>
  <c r="K49" i="78" s="1"/>
  <c r="K142" i="78" s="1"/>
  <c r="H36" i="78"/>
  <c r="H141" i="78" s="1"/>
  <c r="G36" i="78"/>
  <c r="G141" i="78" s="1"/>
  <c r="F36" i="78"/>
  <c r="I34" i="78"/>
  <c r="K34" i="78" s="1"/>
  <c r="K33" i="78"/>
  <c r="I33" i="78"/>
  <c r="I32" i="78"/>
  <c r="K32" i="78" s="1"/>
  <c r="K31" i="78"/>
  <c r="I31" i="78"/>
  <c r="I30" i="78"/>
  <c r="K30" i="78" s="1"/>
  <c r="K29" i="78"/>
  <c r="I29" i="78"/>
  <c r="I28" i="78"/>
  <c r="K28" i="78" s="1"/>
  <c r="K27" i="78"/>
  <c r="I27" i="78"/>
  <c r="I26" i="78"/>
  <c r="K26" i="78" s="1"/>
  <c r="K25" i="78"/>
  <c r="I25" i="78"/>
  <c r="I24" i="78"/>
  <c r="K24" i="78" s="1"/>
  <c r="K23" i="78"/>
  <c r="I23" i="78"/>
  <c r="I22" i="78"/>
  <c r="I36" i="78" s="1"/>
  <c r="I141" i="78" s="1"/>
  <c r="K21" i="78"/>
  <c r="I21" i="78"/>
  <c r="K18" i="78"/>
  <c r="K150" i="78" s="1"/>
  <c r="G152" i="78" l="1"/>
  <c r="K98" i="78"/>
  <c r="K146" i="78" s="1"/>
  <c r="F152" i="78"/>
  <c r="H152" i="78"/>
  <c r="K64" i="78"/>
  <c r="K143" i="78" s="1"/>
  <c r="K82" i="78"/>
  <c r="K145" i="78" s="1"/>
  <c r="J152" i="78"/>
  <c r="K22" i="78"/>
  <c r="K36" i="78" s="1"/>
  <c r="K141" i="78" s="1"/>
  <c r="I49" i="78"/>
  <c r="I142" i="78" s="1"/>
  <c r="I64" i="78"/>
  <c r="I143" i="78" s="1"/>
  <c r="I102" i="78"/>
  <c r="I108" i="78" s="1"/>
  <c r="I147" i="78" s="1"/>
  <c r="I152" i="78" s="1"/>
  <c r="K102" i="78" l="1"/>
  <c r="K108" i="78" s="1"/>
  <c r="K147" i="78" s="1"/>
  <c r="K152" i="78" s="1"/>
  <c r="F155" i="78" l="1"/>
  <c r="F154" i="78"/>
  <c r="J150" i="88" l="1"/>
  <c r="I150" i="88"/>
  <c r="H150" i="88"/>
  <c r="J149" i="88"/>
  <c r="H149" i="88"/>
  <c r="F149" i="88"/>
  <c r="K137" i="88"/>
  <c r="K149" i="88" s="1"/>
  <c r="J137" i="88"/>
  <c r="I137" i="88"/>
  <c r="I149" i="88" s="1"/>
  <c r="H137" i="88"/>
  <c r="G137" i="88"/>
  <c r="G149" i="88" s="1"/>
  <c r="F137" i="88"/>
  <c r="F119" i="88"/>
  <c r="F123" i="88" s="1"/>
  <c r="F127" i="88" s="1"/>
  <c r="F111" i="88"/>
  <c r="K148" i="88" s="1"/>
  <c r="K102" i="88"/>
  <c r="K108" i="88" s="1"/>
  <c r="J102" i="88"/>
  <c r="J108" i="88" s="1"/>
  <c r="I102" i="88"/>
  <c r="I108" i="88" s="1"/>
  <c r="H102" i="88"/>
  <c r="H108" i="88" s="1"/>
  <c r="G102" i="88"/>
  <c r="G108" i="88" s="1"/>
  <c r="G147" i="88" s="1"/>
  <c r="F102" i="88"/>
  <c r="F108" i="88" s="1"/>
  <c r="F147" i="88" s="1"/>
  <c r="K93" i="88"/>
  <c r="J93" i="88"/>
  <c r="I93" i="88"/>
  <c r="H93" i="88"/>
  <c r="G93" i="88"/>
  <c r="F93" i="88"/>
  <c r="K92" i="88"/>
  <c r="J92" i="88"/>
  <c r="I92" i="88"/>
  <c r="H92" i="88"/>
  <c r="G92" i="88"/>
  <c r="F92" i="88"/>
  <c r="K88" i="88"/>
  <c r="J88" i="88"/>
  <c r="I88" i="88"/>
  <c r="H88" i="88"/>
  <c r="G88" i="88"/>
  <c r="F88" i="88"/>
  <c r="K79" i="88"/>
  <c r="J79" i="88"/>
  <c r="I79" i="88"/>
  <c r="H79" i="88"/>
  <c r="G79" i="88"/>
  <c r="F79" i="88"/>
  <c r="K77" i="88"/>
  <c r="J77" i="88"/>
  <c r="I77" i="88"/>
  <c r="H77" i="88"/>
  <c r="G77" i="88"/>
  <c r="F77" i="88"/>
  <c r="K69" i="88"/>
  <c r="J69" i="88"/>
  <c r="I69" i="88"/>
  <c r="H69" i="88"/>
  <c r="G69" i="88"/>
  <c r="F69" i="88"/>
  <c r="K68" i="88"/>
  <c r="J68" i="88"/>
  <c r="I68" i="88"/>
  <c r="H68" i="88"/>
  <c r="G68" i="88"/>
  <c r="F68" i="88"/>
  <c r="K55" i="88"/>
  <c r="J55" i="88"/>
  <c r="I55" i="88"/>
  <c r="H55" i="88"/>
  <c r="G55" i="88"/>
  <c r="F55" i="88"/>
  <c r="K54" i="88"/>
  <c r="J54" i="88"/>
  <c r="I54" i="88"/>
  <c r="H54" i="88"/>
  <c r="G54" i="88"/>
  <c r="F54" i="88"/>
  <c r="K53" i="88"/>
  <c r="J53" i="88"/>
  <c r="I53" i="88"/>
  <c r="H53" i="88"/>
  <c r="G53" i="88"/>
  <c r="G64" i="88" s="1"/>
  <c r="G143" i="88" s="1"/>
  <c r="F53" i="88"/>
  <c r="K42" i="88"/>
  <c r="J42" i="88"/>
  <c r="I42" i="88"/>
  <c r="H42" i="88"/>
  <c r="G42" i="88"/>
  <c r="F42" i="88"/>
  <c r="K41" i="88"/>
  <c r="J41" i="88"/>
  <c r="I41" i="88"/>
  <c r="H41" i="88"/>
  <c r="G41" i="88"/>
  <c r="F41" i="88"/>
  <c r="K40" i="88"/>
  <c r="J40" i="88"/>
  <c r="I40" i="88"/>
  <c r="H40" i="88"/>
  <c r="H49" i="88" s="1"/>
  <c r="G40" i="88"/>
  <c r="F40" i="88"/>
  <c r="K30" i="88"/>
  <c r="J30" i="88"/>
  <c r="I30" i="88"/>
  <c r="H30" i="88"/>
  <c r="G30" i="88"/>
  <c r="F30" i="88"/>
  <c r="K29" i="88"/>
  <c r="J29" i="88"/>
  <c r="I29" i="88"/>
  <c r="H29" i="88"/>
  <c r="G29" i="88"/>
  <c r="F29" i="88"/>
  <c r="K27" i="88"/>
  <c r="J27" i="88"/>
  <c r="I27" i="88"/>
  <c r="H27" i="88"/>
  <c r="G27" i="88"/>
  <c r="F27" i="88"/>
  <c r="K25" i="88"/>
  <c r="J25" i="88"/>
  <c r="I25" i="88"/>
  <c r="H25" i="88"/>
  <c r="F25" i="88"/>
  <c r="K24" i="88"/>
  <c r="J24" i="88"/>
  <c r="I24" i="88"/>
  <c r="H24" i="88"/>
  <c r="G24" i="88"/>
  <c r="F24" i="88"/>
  <c r="K23" i="88"/>
  <c r="J23" i="88"/>
  <c r="I23" i="88"/>
  <c r="H23" i="88"/>
  <c r="G23" i="88"/>
  <c r="F23" i="88"/>
  <c r="K21" i="88"/>
  <c r="J21" i="88"/>
  <c r="I21" i="88"/>
  <c r="H21" i="88"/>
  <c r="G21" i="88"/>
  <c r="F21" i="88"/>
  <c r="K18" i="88"/>
  <c r="K150" i="88" s="1"/>
  <c r="J147" i="88" l="1"/>
  <c r="K89" i="60"/>
  <c r="K147" i="88"/>
  <c r="L89" i="60"/>
  <c r="H142" i="88"/>
  <c r="I38" i="60"/>
  <c r="H147" i="88"/>
  <c r="I89" i="60"/>
  <c r="I147" i="88"/>
  <c r="J89" i="60"/>
  <c r="I64" i="88"/>
  <c r="I143" i="88" s="1"/>
  <c r="I74" i="88"/>
  <c r="H98" i="88"/>
  <c r="K64" i="88"/>
  <c r="K143" i="88" s="1"/>
  <c r="J49" i="88"/>
  <c r="F74" i="88"/>
  <c r="F144" i="88" s="1"/>
  <c r="J74" i="88"/>
  <c r="F82" i="88"/>
  <c r="F145" i="88" s="1"/>
  <c r="J82" i="88"/>
  <c r="F98" i="88"/>
  <c r="F146" i="88" s="1"/>
  <c r="F36" i="88"/>
  <c r="F141" i="88" s="1"/>
  <c r="F49" i="88"/>
  <c r="F142" i="88" s="1"/>
  <c r="H64" i="88"/>
  <c r="H143" i="88" s="1"/>
  <c r="F64" i="88"/>
  <c r="F143" i="88" s="1"/>
  <c r="J98" i="88"/>
  <c r="J36" i="88"/>
  <c r="I36" i="88"/>
  <c r="I82" i="88"/>
  <c r="J64" i="88"/>
  <c r="J143" i="88" s="1"/>
  <c r="H74" i="88"/>
  <c r="G36" i="88"/>
  <c r="G141" i="88" s="1"/>
  <c r="K36" i="88"/>
  <c r="H36" i="88"/>
  <c r="G49" i="88"/>
  <c r="G142" i="88" s="1"/>
  <c r="K49" i="88"/>
  <c r="I49" i="88"/>
  <c r="G74" i="88"/>
  <c r="G144" i="88" s="1"/>
  <c r="K74" i="88"/>
  <c r="G82" i="88"/>
  <c r="G145" i="88" s="1"/>
  <c r="K82" i="88"/>
  <c r="G98" i="88"/>
  <c r="G146" i="88" s="1"/>
  <c r="K98" i="88"/>
  <c r="I98" i="88"/>
  <c r="H82" i="88"/>
  <c r="J142" i="88" l="1"/>
  <c r="K38" i="60"/>
  <c r="K145" i="88"/>
  <c r="L60" i="60"/>
  <c r="K144" i="88"/>
  <c r="L51" i="60"/>
  <c r="H146" i="88"/>
  <c r="I78" i="60"/>
  <c r="K146" i="88"/>
  <c r="L78" i="60"/>
  <c r="J141" i="88"/>
  <c r="K24" i="60"/>
  <c r="K141" i="88"/>
  <c r="K152" i="88" s="1"/>
  <c r="K158" i="88" s="1"/>
  <c r="K159" i="88" s="1"/>
  <c r="L24" i="60"/>
  <c r="H144" i="88"/>
  <c r="I51" i="60"/>
  <c r="H145" i="88"/>
  <c r="I60" i="60"/>
  <c r="I142" i="88"/>
  <c r="J38" i="60"/>
  <c r="I145" i="88"/>
  <c r="J60" i="60"/>
  <c r="I144" i="88"/>
  <c r="J51" i="60"/>
  <c r="I146" i="88"/>
  <c r="J78" i="60"/>
  <c r="K142" i="88"/>
  <c r="L38" i="60"/>
  <c r="I141" i="88"/>
  <c r="J24" i="60"/>
  <c r="J145" i="88"/>
  <c r="K60" i="60"/>
  <c r="H141" i="88"/>
  <c r="I24" i="60"/>
  <c r="J146" i="88"/>
  <c r="K78" i="60"/>
  <c r="J144" i="88"/>
  <c r="K51" i="60"/>
  <c r="J152" i="88"/>
  <c r="J158" i="88" s="1"/>
  <c r="J159" i="88" s="1"/>
  <c r="F152" i="88"/>
  <c r="F158" i="88" s="1"/>
  <c r="F159" i="88" s="1"/>
  <c r="G152" i="88"/>
  <c r="G158" i="88" s="1"/>
  <c r="G159" i="88" s="1"/>
  <c r="H152" i="88"/>
  <c r="H158" i="88" s="1"/>
  <c r="H159" i="88" s="1"/>
  <c r="I152" i="88" l="1"/>
  <c r="I158" i="88" s="1"/>
  <c r="I159" i="88" s="1"/>
  <c r="K153" i="88"/>
  <c r="K154" i="88" s="1"/>
  <c r="F155" i="88"/>
  <c r="F154" i="88"/>
  <c r="K150" i="90"/>
  <c r="J150" i="90"/>
  <c r="I150" i="90"/>
  <c r="H150" i="90"/>
  <c r="J149" i="90"/>
  <c r="F149" i="90"/>
  <c r="K148" i="90"/>
  <c r="G145" i="90"/>
  <c r="I144" i="90"/>
  <c r="H142" i="90"/>
  <c r="J141" i="90"/>
  <c r="F141" i="90"/>
  <c r="J137" i="90"/>
  <c r="I137" i="90"/>
  <c r="I149" i="90" s="1"/>
  <c r="H137" i="90"/>
  <c r="H149" i="90" s="1"/>
  <c r="G137" i="90"/>
  <c r="G149" i="90" s="1"/>
  <c r="F137" i="90"/>
  <c r="K135" i="90"/>
  <c r="K134" i="90"/>
  <c r="K133" i="90"/>
  <c r="K132" i="90"/>
  <c r="K131" i="90"/>
  <c r="K137" i="90" s="1"/>
  <c r="K149" i="90" s="1"/>
  <c r="F123" i="90"/>
  <c r="F127" i="90" s="1"/>
  <c r="F119" i="90"/>
  <c r="J108" i="90"/>
  <c r="J147" i="90" s="1"/>
  <c r="I108" i="90"/>
  <c r="I147" i="90" s="1"/>
  <c r="H108" i="90"/>
  <c r="H147" i="90" s="1"/>
  <c r="G108" i="90"/>
  <c r="G147" i="90" s="1"/>
  <c r="F108" i="90"/>
  <c r="F147" i="90" s="1"/>
  <c r="K106" i="90"/>
  <c r="I106" i="90"/>
  <c r="I105" i="90"/>
  <c r="K105" i="90" s="1"/>
  <c r="K104" i="90"/>
  <c r="I104" i="90"/>
  <c r="K103" i="90"/>
  <c r="K102" i="90"/>
  <c r="K108" i="90" s="1"/>
  <c r="K147" i="90" s="1"/>
  <c r="J98" i="90"/>
  <c r="J146" i="90" s="1"/>
  <c r="H98" i="90"/>
  <c r="H146" i="90" s="1"/>
  <c r="G98" i="90"/>
  <c r="G146" i="90" s="1"/>
  <c r="F98" i="90"/>
  <c r="F146" i="90" s="1"/>
  <c r="I96" i="90"/>
  <c r="K96" i="90" s="1"/>
  <c r="K95" i="90"/>
  <c r="I95" i="90"/>
  <c r="I94" i="90"/>
  <c r="I98" i="90" s="1"/>
  <c r="I146" i="90" s="1"/>
  <c r="K93" i="90"/>
  <c r="K92" i="90"/>
  <c r="K91" i="90"/>
  <c r="K90" i="90"/>
  <c r="K89" i="90"/>
  <c r="I89" i="90"/>
  <c r="K88" i="90"/>
  <c r="K87" i="90"/>
  <c r="K86" i="90"/>
  <c r="J82" i="90"/>
  <c r="J145" i="90" s="1"/>
  <c r="I82" i="90"/>
  <c r="I145" i="90" s="1"/>
  <c r="H82" i="90"/>
  <c r="H145" i="90" s="1"/>
  <c r="G82" i="90"/>
  <c r="F82" i="90"/>
  <c r="F145" i="90" s="1"/>
  <c r="K80" i="90"/>
  <c r="K79" i="90"/>
  <c r="K78" i="90"/>
  <c r="K77" i="90"/>
  <c r="K82" i="90" s="1"/>
  <c r="K145" i="90" s="1"/>
  <c r="J74" i="90"/>
  <c r="J144" i="90" s="1"/>
  <c r="I74" i="90"/>
  <c r="H74" i="90"/>
  <c r="H144" i="90" s="1"/>
  <c r="G74" i="90"/>
  <c r="G144" i="90" s="1"/>
  <c r="F74" i="90"/>
  <c r="F144" i="90" s="1"/>
  <c r="K72" i="90"/>
  <c r="K71" i="90"/>
  <c r="K70" i="90"/>
  <c r="K69" i="90"/>
  <c r="K74" i="90" s="1"/>
  <c r="K144" i="90" s="1"/>
  <c r="K68" i="90"/>
  <c r="J64" i="90"/>
  <c r="J143" i="90" s="1"/>
  <c r="I64" i="90"/>
  <c r="I143" i="90" s="1"/>
  <c r="H64" i="90"/>
  <c r="H143" i="90" s="1"/>
  <c r="G64" i="90"/>
  <c r="G143" i="90" s="1"/>
  <c r="F64" i="90"/>
  <c r="F143" i="90" s="1"/>
  <c r="K62" i="90"/>
  <c r="K61" i="90"/>
  <c r="K60" i="90"/>
  <c r="K59" i="90"/>
  <c r="K58" i="90"/>
  <c r="K57" i="90"/>
  <c r="K56" i="90"/>
  <c r="K55" i="90"/>
  <c r="K54" i="90"/>
  <c r="K64" i="90" s="1"/>
  <c r="K143" i="90" s="1"/>
  <c r="K53" i="90"/>
  <c r="J49" i="90"/>
  <c r="J142" i="90" s="1"/>
  <c r="I49" i="90"/>
  <c r="I142" i="90" s="1"/>
  <c r="H49" i="90"/>
  <c r="G49" i="90"/>
  <c r="G142" i="90" s="1"/>
  <c r="F49" i="90"/>
  <c r="F142" i="90" s="1"/>
  <c r="K47" i="90"/>
  <c r="K46" i="90"/>
  <c r="K45" i="90"/>
  <c r="K44" i="90"/>
  <c r="K43" i="90"/>
  <c r="K42" i="90"/>
  <c r="K41" i="90"/>
  <c r="K40" i="90"/>
  <c r="K49" i="90" s="1"/>
  <c r="K142" i="90" s="1"/>
  <c r="J36" i="90"/>
  <c r="H36" i="90"/>
  <c r="H141" i="90" s="1"/>
  <c r="H152" i="90" s="1"/>
  <c r="G36" i="90"/>
  <c r="G141" i="90" s="1"/>
  <c r="F36" i="90"/>
  <c r="I34" i="90"/>
  <c r="K34" i="90" s="1"/>
  <c r="K33" i="90"/>
  <c r="I33" i="90"/>
  <c r="I32" i="90"/>
  <c r="K32" i="90" s="1"/>
  <c r="K31" i="90"/>
  <c r="I31" i="90"/>
  <c r="I30" i="90"/>
  <c r="K30" i="90" s="1"/>
  <c r="K29" i="90"/>
  <c r="I28" i="90"/>
  <c r="K28" i="90" s="1"/>
  <c r="I27" i="90"/>
  <c r="K27" i="90" s="1"/>
  <c r="I26" i="90"/>
  <c r="K26" i="90" s="1"/>
  <c r="K25" i="90"/>
  <c r="K24" i="90"/>
  <c r="I23" i="90"/>
  <c r="K23" i="90" s="1"/>
  <c r="K22" i="90"/>
  <c r="K21" i="90"/>
  <c r="K18" i="90"/>
  <c r="K98" i="90" l="1"/>
  <c r="K146" i="90" s="1"/>
  <c r="K36" i="90"/>
  <c r="K141" i="90" s="1"/>
  <c r="K152" i="90" s="1"/>
  <c r="F152" i="90"/>
  <c r="G152" i="90"/>
  <c r="J152" i="90"/>
  <c r="I36" i="90"/>
  <c r="I141" i="90" s="1"/>
  <c r="I152" i="90" s="1"/>
  <c r="K94" i="90"/>
  <c r="F155" i="90" l="1"/>
  <c r="F154" i="90"/>
  <c r="J150" i="103" l="1"/>
  <c r="I150" i="103"/>
  <c r="H150" i="103"/>
  <c r="J149" i="103"/>
  <c r="H149" i="103"/>
  <c r="F149" i="103"/>
  <c r="K148" i="103"/>
  <c r="I143" i="103"/>
  <c r="G143" i="103"/>
  <c r="I142" i="103"/>
  <c r="G142" i="103"/>
  <c r="G141" i="103"/>
  <c r="J137" i="103"/>
  <c r="I137" i="103"/>
  <c r="I149" i="103" s="1"/>
  <c r="H137" i="103"/>
  <c r="G137" i="103"/>
  <c r="G149" i="103" s="1"/>
  <c r="F137" i="103"/>
  <c r="K135" i="103"/>
  <c r="K134" i="103"/>
  <c r="K133" i="103"/>
  <c r="K137" i="103" s="1"/>
  <c r="K149" i="103" s="1"/>
  <c r="K132" i="103"/>
  <c r="K131" i="103"/>
  <c r="F123" i="103"/>
  <c r="F127" i="103" s="1"/>
  <c r="F119" i="103"/>
  <c r="J108" i="103"/>
  <c r="J147" i="103" s="1"/>
  <c r="I108" i="103"/>
  <c r="I147" i="103" s="1"/>
  <c r="H108" i="103"/>
  <c r="H147" i="103" s="1"/>
  <c r="G108" i="103"/>
  <c r="G147" i="103" s="1"/>
  <c r="F108" i="103"/>
  <c r="F147" i="103" s="1"/>
  <c r="K106" i="103"/>
  <c r="I106" i="103"/>
  <c r="K105" i="103"/>
  <c r="I105" i="103"/>
  <c r="K104" i="103"/>
  <c r="I103" i="103"/>
  <c r="K103" i="103" s="1"/>
  <c r="K108" i="103" s="1"/>
  <c r="K147" i="103" s="1"/>
  <c r="K102" i="103"/>
  <c r="J98" i="103"/>
  <c r="J146" i="103" s="1"/>
  <c r="I98" i="103"/>
  <c r="I146" i="103" s="1"/>
  <c r="H98" i="103"/>
  <c r="H146" i="103" s="1"/>
  <c r="G98" i="103"/>
  <c r="G146" i="103" s="1"/>
  <c r="F98" i="103"/>
  <c r="F146" i="103" s="1"/>
  <c r="K96" i="103"/>
  <c r="I96" i="103"/>
  <c r="K95" i="103"/>
  <c r="I95" i="103"/>
  <c r="K94" i="103"/>
  <c r="I94" i="103"/>
  <c r="K93" i="103"/>
  <c r="K92" i="103"/>
  <c r="K91" i="103"/>
  <c r="I91" i="103"/>
  <c r="K90" i="103"/>
  <c r="I90" i="103"/>
  <c r="K89" i="103"/>
  <c r="I89" i="103"/>
  <c r="K88" i="103"/>
  <c r="I88" i="103"/>
  <c r="K87" i="103"/>
  <c r="I87" i="103"/>
  <c r="K86" i="103"/>
  <c r="K98" i="103" s="1"/>
  <c r="K146" i="103" s="1"/>
  <c r="I86" i="103"/>
  <c r="J82" i="103"/>
  <c r="J145" i="103" s="1"/>
  <c r="I82" i="103"/>
  <c r="I145" i="103" s="1"/>
  <c r="H82" i="103"/>
  <c r="H145" i="103" s="1"/>
  <c r="G82" i="103"/>
  <c r="G145" i="103" s="1"/>
  <c r="F82" i="103"/>
  <c r="F145" i="103" s="1"/>
  <c r="K80" i="103"/>
  <c r="K79" i="103"/>
  <c r="K78" i="103"/>
  <c r="K82" i="103" s="1"/>
  <c r="K145" i="103" s="1"/>
  <c r="K77" i="103"/>
  <c r="J74" i="103"/>
  <c r="J144" i="103" s="1"/>
  <c r="I74" i="103"/>
  <c r="I144" i="103" s="1"/>
  <c r="H74" i="103"/>
  <c r="H144" i="103" s="1"/>
  <c r="G74" i="103"/>
  <c r="G144" i="103" s="1"/>
  <c r="F74" i="103"/>
  <c r="F144" i="103" s="1"/>
  <c r="K72" i="103"/>
  <c r="K71" i="103"/>
  <c r="K70" i="103"/>
  <c r="K69" i="103"/>
  <c r="K68" i="103"/>
  <c r="K74" i="103" s="1"/>
  <c r="K144" i="103" s="1"/>
  <c r="J64" i="103"/>
  <c r="J143" i="103" s="1"/>
  <c r="I64" i="103"/>
  <c r="H64" i="103"/>
  <c r="H143" i="103" s="1"/>
  <c r="G64" i="103"/>
  <c r="F64" i="103"/>
  <c r="F143" i="103" s="1"/>
  <c r="K64" i="103"/>
  <c r="K143" i="103" s="1"/>
  <c r="J49" i="103"/>
  <c r="J142" i="103" s="1"/>
  <c r="I49" i="103"/>
  <c r="H49" i="103"/>
  <c r="H142" i="103" s="1"/>
  <c r="G49" i="103"/>
  <c r="F49" i="103"/>
  <c r="F142" i="103" s="1"/>
  <c r="K47" i="103"/>
  <c r="K46" i="103"/>
  <c r="K45" i="103"/>
  <c r="K44" i="103"/>
  <c r="K43" i="103"/>
  <c r="K42" i="103"/>
  <c r="K41" i="103"/>
  <c r="K40" i="103"/>
  <c r="K49" i="103" s="1"/>
  <c r="K142" i="103" s="1"/>
  <c r="J36" i="103"/>
  <c r="J141" i="103" s="1"/>
  <c r="H36" i="103"/>
  <c r="H141" i="103" s="1"/>
  <c r="H152" i="103" s="1"/>
  <c r="G36" i="103"/>
  <c r="F36" i="103"/>
  <c r="F141" i="103" s="1"/>
  <c r="I34" i="103"/>
  <c r="K34" i="103" s="1"/>
  <c r="I33" i="103"/>
  <c r="K33" i="103" s="1"/>
  <c r="I32" i="103"/>
  <c r="K32" i="103" s="1"/>
  <c r="I31" i="103"/>
  <c r="K31" i="103" s="1"/>
  <c r="K30" i="103"/>
  <c r="K29" i="103"/>
  <c r="I28" i="103"/>
  <c r="K28" i="103" s="1"/>
  <c r="I27" i="103"/>
  <c r="K27" i="103" s="1"/>
  <c r="I26" i="103"/>
  <c r="K26" i="103" s="1"/>
  <c r="I25" i="103"/>
  <c r="K25" i="103" s="1"/>
  <c r="K24" i="103"/>
  <c r="K23" i="103"/>
  <c r="I23" i="103"/>
  <c r="K22" i="103"/>
  <c r="I22" i="103"/>
  <c r="I36" i="103" s="1"/>
  <c r="I141" i="103" s="1"/>
  <c r="K21" i="103"/>
  <c r="K18" i="103"/>
  <c r="K150" i="103" s="1"/>
  <c r="J152" i="103" l="1"/>
  <c r="K36" i="103"/>
  <c r="K141" i="103" s="1"/>
  <c r="K152" i="103" s="1"/>
  <c r="F152" i="103"/>
  <c r="G152" i="103"/>
  <c r="I152" i="103"/>
  <c r="F155" i="103" l="1"/>
  <c r="F154" i="103"/>
  <c r="J150" i="85" l="1"/>
  <c r="I150" i="85"/>
  <c r="H150" i="85"/>
  <c r="J149" i="85"/>
  <c r="F149" i="85"/>
  <c r="K148" i="85"/>
  <c r="G147" i="85"/>
  <c r="I145" i="85"/>
  <c r="G144" i="85"/>
  <c r="J143" i="85"/>
  <c r="F143" i="85"/>
  <c r="J137" i="85"/>
  <c r="I137" i="85"/>
  <c r="I149" i="85" s="1"/>
  <c r="H137" i="85"/>
  <c r="H149" i="85" s="1"/>
  <c r="G137" i="85"/>
  <c r="G149" i="85" s="1"/>
  <c r="F137" i="85"/>
  <c r="K135" i="85"/>
  <c r="K134" i="85"/>
  <c r="K133" i="85"/>
  <c r="K137" i="85" s="1"/>
  <c r="K149" i="85" s="1"/>
  <c r="K132" i="85"/>
  <c r="K131" i="85"/>
  <c r="F127" i="85"/>
  <c r="F119" i="85"/>
  <c r="J108" i="85"/>
  <c r="J147" i="85" s="1"/>
  <c r="H108" i="85"/>
  <c r="H147" i="85" s="1"/>
  <c r="G108" i="85"/>
  <c r="F108" i="85"/>
  <c r="F147" i="85" s="1"/>
  <c r="I106" i="85"/>
  <c r="K106" i="85" s="1"/>
  <c r="I105" i="85"/>
  <c r="K105" i="85" s="1"/>
  <c r="I104" i="85"/>
  <c r="I108" i="85" s="1"/>
  <c r="I147" i="85" s="1"/>
  <c r="K103" i="85"/>
  <c r="K102" i="85"/>
  <c r="J98" i="85"/>
  <c r="J146" i="85" s="1"/>
  <c r="H98" i="85"/>
  <c r="H146" i="85" s="1"/>
  <c r="G98" i="85"/>
  <c r="G146" i="85" s="1"/>
  <c r="F98" i="85"/>
  <c r="F146" i="85" s="1"/>
  <c r="I96" i="85"/>
  <c r="K96" i="85" s="1"/>
  <c r="I95" i="85"/>
  <c r="K95" i="85" s="1"/>
  <c r="I94" i="85"/>
  <c r="K94" i="85" s="1"/>
  <c r="K93" i="85"/>
  <c r="K92" i="85"/>
  <c r="K91" i="85"/>
  <c r="I90" i="85"/>
  <c r="K90" i="85" s="1"/>
  <c r="K89" i="85"/>
  <c r="I89" i="85"/>
  <c r="K88" i="85"/>
  <c r="I87" i="85"/>
  <c r="K87" i="85" s="1"/>
  <c r="I86" i="85"/>
  <c r="I98" i="85" s="1"/>
  <c r="I146" i="85" s="1"/>
  <c r="J82" i="85"/>
  <c r="J145" i="85" s="1"/>
  <c r="I82" i="85"/>
  <c r="H82" i="85"/>
  <c r="H145" i="85" s="1"/>
  <c r="G82" i="85"/>
  <c r="G145" i="85" s="1"/>
  <c r="F82" i="85"/>
  <c r="F145" i="85" s="1"/>
  <c r="K80" i="85"/>
  <c r="K79" i="85"/>
  <c r="K78" i="85"/>
  <c r="K77" i="85"/>
  <c r="K82" i="85" s="1"/>
  <c r="K145" i="85" s="1"/>
  <c r="J74" i="85"/>
  <c r="J144" i="85" s="1"/>
  <c r="I74" i="85"/>
  <c r="I144" i="85" s="1"/>
  <c r="H74" i="85"/>
  <c r="H144" i="85" s="1"/>
  <c r="G74" i="85"/>
  <c r="F74" i="85"/>
  <c r="F144" i="85" s="1"/>
  <c r="K72" i="85"/>
  <c r="K71" i="85"/>
  <c r="K70" i="85"/>
  <c r="K69" i="85"/>
  <c r="K68" i="85"/>
  <c r="K74" i="85" s="1"/>
  <c r="K144" i="85" s="1"/>
  <c r="J64" i="85"/>
  <c r="I64" i="85"/>
  <c r="I143" i="85" s="1"/>
  <c r="H64" i="85"/>
  <c r="H143" i="85" s="1"/>
  <c r="G64" i="85"/>
  <c r="G143" i="85" s="1"/>
  <c r="F64" i="85"/>
  <c r="K62" i="85"/>
  <c r="K61" i="85"/>
  <c r="K60" i="85"/>
  <c r="K59" i="85"/>
  <c r="K58" i="85"/>
  <c r="K57" i="85"/>
  <c r="K56" i="85"/>
  <c r="K55" i="85"/>
  <c r="K54" i="85"/>
  <c r="K53" i="85"/>
  <c r="K64" i="85" s="1"/>
  <c r="K143" i="85" s="1"/>
  <c r="J49" i="85"/>
  <c r="J142" i="85" s="1"/>
  <c r="I49" i="85"/>
  <c r="I142" i="85" s="1"/>
  <c r="H49" i="85"/>
  <c r="H142" i="85" s="1"/>
  <c r="G49" i="85"/>
  <c r="G142" i="85" s="1"/>
  <c r="F49" i="85"/>
  <c r="F142" i="85" s="1"/>
  <c r="K47" i="85"/>
  <c r="K46" i="85"/>
  <c r="K45" i="85"/>
  <c r="K49" i="85" s="1"/>
  <c r="K142" i="85" s="1"/>
  <c r="K44" i="85"/>
  <c r="K43" i="85"/>
  <c r="J36" i="85"/>
  <c r="J141" i="85" s="1"/>
  <c r="H36" i="85"/>
  <c r="H141" i="85" s="1"/>
  <c r="H152" i="85" s="1"/>
  <c r="G36" i="85"/>
  <c r="G141" i="85" s="1"/>
  <c r="F36" i="85"/>
  <c r="F141" i="85" s="1"/>
  <c r="I34" i="85"/>
  <c r="K34" i="85" s="1"/>
  <c r="I33" i="85"/>
  <c r="K33" i="85" s="1"/>
  <c r="I32" i="85"/>
  <c r="K32" i="85" s="1"/>
  <c r="I31" i="85"/>
  <c r="K31" i="85" s="1"/>
  <c r="I30" i="85"/>
  <c r="K30" i="85" s="1"/>
  <c r="I28" i="85"/>
  <c r="K28" i="85" s="1"/>
  <c r="I27" i="85"/>
  <c r="K27" i="85" s="1"/>
  <c r="I26" i="85"/>
  <c r="K26" i="85" s="1"/>
  <c r="I25" i="85"/>
  <c r="K25" i="85" s="1"/>
  <c r="K24" i="85"/>
  <c r="K23" i="85"/>
  <c r="I23" i="85"/>
  <c r="I22" i="85"/>
  <c r="I36" i="85" s="1"/>
  <c r="I141" i="85" s="1"/>
  <c r="K18" i="85"/>
  <c r="K150" i="85" s="1"/>
  <c r="I152" i="85" l="1"/>
  <c r="J152" i="85"/>
  <c r="F152" i="85"/>
  <c r="G152" i="85"/>
  <c r="K22" i="85"/>
  <c r="K36" i="85" s="1"/>
  <c r="K141" i="85" s="1"/>
  <c r="K86" i="85"/>
  <c r="K98" i="85" s="1"/>
  <c r="K146" i="85" s="1"/>
  <c r="K104" i="85"/>
  <c r="K108" i="85" s="1"/>
  <c r="K147" i="85" s="1"/>
  <c r="K152" i="85" l="1"/>
  <c r="F155" i="85" l="1"/>
  <c r="F154" i="85"/>
  <c r="J150" i="94" l="1"/>
  <c r="I150" i="94"/>
  <c r="H150" i="94"/>
  <c r="J149" i="94"/>
  <c r="F149" i="94"/>
  <c r="K148" i="94"/>
  <c r="H146" i="94"/>
  <c r="G146" i="94"/>
  <c r="I145" i="94"/>
  <c r="G144" i="94"/>
  <c r="I143" i="94"/>
  <c r="J137" i="94"/>
  <c r="I137" i="94"/>
  <c r="I149" i="94" s="1"/>
  <c r="H137" i="94"/>
  <c r="H149" i="94" s="1"/>
  <c r="G137" i="94"/>
  <c r="G149" i="94" s="1"/>
  <c r="F137" i="94"/>
  <c r="K135" i="94"/>
  <c r="K134" i="94"/>
  <c r="K133" i="94"/>
  <c r="K137" i="94" s="1"/>
  <c r="K149" i="94" s="1"/>
  <c r="K132" i="94"/>
  <c r="K131" i="94"/>
  <c r="F123" i="94"/>
  <c r="F127" i="94" s="1"/>
  <c r="F119" i="94"/>
  <c r="J108" i="94"/>
  <c r="J147" i="94" s="1"/>
  <c r="I108" i="94"/>
  <c r="I147" i="94" s="1"/>
  <c r="H108" i="94"/>
  <c r="H147" i="94" s="1"/>
  <c r="G108" i="94"/>
  <c r="G147" i="94" s="1"/>
  <c r="F108" i="94"/>
  <c r="F147" i="94" s="1"/>
  <c r="K106" i="94"/>
  <c r="I106" i="94"/>
  <c r="I105" i="94"/>
  <c r="K105" i="94" s="1"/>
  <c r="K104" i="94"/>
  <c r="I104" i="94"/>
  <c r="I103" i="94"/>
  <c r="K103" i="94" s="1"/>
  <c r="K102" i="94"/>
  <c r="I102" i="94"/>
  <c r="J98" i="94"/>
  <c r="J146" i="94" s="1"/>
  <c r="H98" i="94"/>
  <c r="G98" i="94"/>
  <c r="F98" i="94"/>
  <c r="F146" i="94" s="1"/>
  <c r="K96" i="94"/>
  <c r="I96" i="94"/>
  <c r="I95" i="94"/>
  <c r="K95" i="94" s="1"/>
  <c r="K94" i="94"/>
  <c r="I94" i="94"/>
  <c r="I93" i="94"/>
  <c r="K93" i="94" s="1"/>
  <c r="K92" i="94"/>
  <c r="I91" i="94"/>
  <c r="K91" i="94" s="1"/>
  <c r="I90" i="94"/>
  <c r="K90" i="94" s="1"/>
  <c r="I89" i="94"/>
  <c r="K89" i="94" s="1"/>
  <c r="K88" i="94"/>
  <c r="K87" i="94"/>
  <c r="I86" i="94"/>
  <c r="K86" i="94" s="1"/>
  <c r="J82" i="94"/>
  <c r="J145" i="94" s="1"/>
  <c r="I82" i="94"/>
  <c r="H82" i="94"/>
  <c r="H145" i="94" s="1"/>
  <c r="G82" i="94"/>
  <c r="G145" i="94" s="1"/>
  <c r="F82" i="94"/>
  <c r="F145" i="94" s="1"/>
  <c r="K80" i="94"/>
  <c r="K79" i="94"/>
  <c r="K78" i="94"/>
  <c r="K77" i="94"/>
  <c r="K82" i="94" s="1"/>
  <c r="K145" i="94" s="1"/>
  <c r="J74" i="94"/>
  <c r="J144" i="94" s="1"/>
  <c r="I74" i="94"/>
  <c r="I144" i="94" s="1"/>
  <c r="H74" i="94"/>
  <c r="H144" i="94" s="1"/>
  <c r="G74" i="94"/>
  <c r="F74" i="94"/>
  <c r="F144" i="94" s="1"/>
  <c r="K72" i="94"/>
  <c r="K71" i="94"/>
  <c r="K70" i="94"/>
  <c r="K69" i="94"/>
  <c r="K68" i="94"/>
  <c r="K74" i="94" s="1"/>
  <c r="K144" i="94" s="1"/>
  <c r="I64" i="94"/>
  <c r="G64" i="94"/>
  <c r="G143" i="94" s="1"/>
  <c r="K62" i="94"/>
  <c r="H61" i="94"/>
  <c r="K61" i="94" s="1"/>
  <c r="K60" i="94"/>
  <c r="K59" i="94"/>
  <c r="K58" i="94"/>
  <c r="K57" i="94"/>
  <c r="J57" i="94"/>
  <c r="H57" i="94"/>
  <c r="K56" i="94"/>
  <c r="K55" i="94"/>
  <c r="J55" i="94"/>
  <c r="J64" i="94" s="1"/>
  <c r="J143" i="94" s="1"/>
  <c r="H55" i="94"/>
  <c r="G55" i="94"/>
  <c r="F55" i="94"/>
  <c r="F64" i="94" s="1"/>
  <c r="F143" i="94" s="1"/>
  <c r="K54" i="94"/>
  <c r="H53" i="94"/>
  <c r="H64" i="94" s="1"/>
  <c r="H143" i="94" s="1"/>
  <c r="J49" i="94"/>
  <c r="J142" i="94" s="1"/>
  <c r="H49" i="94"/>
  <c r="H142" i="94" s="1"/>
  <c r="G49" i="94"/>
  <c r="G142" i="94" s="1"/>
  <c r="F49" i="94"/>
  <c r="F142" i="94" s="1"/>
  <c r="K47" i="94"/>
  <c r="K46" i="94"/>
  <c r="K45" i="94"/>
  <c r="I44" i="94"/>
  <c r="K44" i="94" s="1"/>
  <c r="K43" i="94"/>
  <c r="K42" i="94"/>
  <c r="I42" i="94"/>
  <c r="I41" i="94"/>
  <c r="I49" i="94" s="1"/>
  <c r="I142" i="94" s="1"/>
  <c r="K40" i="94"/>
  <c r="I40" i="94"/>
  <c r="J36" i="94"/>
  <c r="J141" i="94" s="1"/>
  <c r="I36" i="94"/>
  <c r="I141" i="94" s="1"/>
  <c r="H36" i="94"/>
  <c r="H141" i="94" s="1"/>
  <c r="G36" i="94"/>
  <c r="G141" i="94" s="1"/>
  <c r="F36" i="94"/>
  <c r="F141" i="94" s="1"/>
  <c r="K34" i="94"/>
  <c r="I34" i="94"/>
  <c r="I33" i="94"/>
  <c r="K33" i="94" s="1"/>
  <c r="K32" i="94"/>
  <c r="I32" i="94"/>
  <c r="I31" i="94"/>
  <c r="K31" i="94" s="1"/>
  <c r="K30" i="94"/>
  <c r="I30" i="94"/>
  <c r="I29" i="94"/>
  <c r="K29" i="94" s="1"/>
  <c r="K28" i="94"/>
  <c r="I28" i="94"/>
  <c r="I27" i="94"/>
  <c r="K27" i="94" s="1"/>
  <c r="K26" i="94"/>
  <c r="I26" i="94"/>
  <c r="I25" i="94"/>
  <c r="K25" i="94" s="1"/>
  <c r="K24" i="94"/>
  <c r="I24" i="94"/>
  <c r="I23" i="94"/>
  <c r="K23" i="94" s="1"/>
  <c r="K22" i="94"/>
  <c r="I22" i="94"/>
  <c r="I21" i="94"/>
  <c r="K21" i="94" s="1"/>
  <c r="K36" i="94" s="1"/>
  <c r="K141" i="94" s="1"/>
  <c r="K18" i="94"/>
  <c r="K150" i="94" s="1"/>
  <c r="I152" i="94" l="1"/>
  <c r="F152" i="94"/>
  <c r="J152" i="94"/>
  <c r="K98" i="94"/>
  <c r="K146" i="94" s="1"/>
  <c r="G152" i="94"/>
  <c r="H152" i="94"/>
  <c r="K108" i="94"/>
  <c r="K147" i="94" s="1"/>
  <c r="K41" i="94"/>
  <c r="K49" i="94" s="1"/>
  <c r="K142" i="94" s="1"/>
  <c r="K152" i="94" s="1"/>
  <c r="K53" i="94"/>
  <c r="K64" i="94" s="1"/>
  <c r="K143" i="94" s="1"/>
  <c r="I98" i="94"/>
  <c r="I146" i="94" s="1"/>
  <c r="F155" i="94" l="1"/>
  <c r="F154" i="94"/>
  <c r="J150" i="100" l="1"/>
  <c r="I150" i="100"/>
  <c r="H150" i="100"/>
  <c r="H149" i="100"/>
  <c r="K148" i="100"/>
  <c r="G143" i="100"/>
  <c r="I142" i="100"/>
  <c r="G141" i="100"/>
  <c r="J137" i="100"/>
  <c r="J149" i="100" s="1"/>
  <c r="I137" i="100"/>
  <c r="I149" i="100" s="1"/>
  <c r="H137" i="100"/>
  <c r="G137" i="100"/>
  <c r="G149" i="100" s="1"/>
  <c r="F137" i="100"/>
  <c r="F149" i="100" s="1"/>
  <c r="K135" i="100"/>
  <c r="K134" i="100"/>
  <c r="K133" i="100"/>
  <c r="K132" i="100"/>
  <c r="K131" i="100"/>
  <c r="K137" i="100" s="1"/>
  <c r="K149" i="100" s="1"/>
  <c r="F119" i="100"/>
  <c r="F123" i="100" s="1"/>
  <c r="F127" i="100" s="1"/>
  <c r="J108" i="100"/>
  <c r="J147" i="100" s="1"/>
  <c r="H108" i="100"/>
  <c r="H147" i="100" s="1"/>
  <c r="G108" i="100"/>
  <c r="G147" i="100" s="1"/>
  <c r="F108" i="100"/>
  <c r="F147" i="100" s="1"/>
  <c r="I106" i="100"/>
  <c r="K106" i="100" s="1"/>
  <c r="K105" i="100"/>
  <c r="I105" i="100"/>
  <c r="I104" i="100"/>
  <c r="K104" i="100" s="1"/>
  <c r="K103" i="100"/>
  <c r="K108" i="100" s="1"/>
  <c r="K147" i="100" s="1"/>
  <c r="I103" i="100"/>
  <c r="I108" i="100" s="1"/>
  <c r="I147" i="100" s="1"/>
  <c r="K102" i="100"/>
  <c r="J98" i="100"/>
  <c r="J146" i="100" s="1"/>
  <c r="H98" i="100"/>
  <c r="H146" i="100" s="1"/>
  <c r="G98" i="100"/>
  <c r="G146" i="100" s="1"/>
  <c r="F98" i="100"/>
  <c r="F146" i="100" s="1"/>
  <c r="K96" i="100"/>
  <c r="I96" i="100"/>
  <c r="I95" i="100"/>
  <c r="K95" i="100" s="1"/>
  <c r="K94" i="100"/>
  <c r="I94" i="100"/>
  <c r="K93" i="100"/>
  <c r="K92" i="100"/>
  <c r="K91" i="100"/>
  <c r="I91" i="100"/>
  <c r="I90" i="100"/>
  <c r="K90" i="100" s="1"/>
  <c r="K89" i="100"/>
  <c r="I89" i="100"/>
  <c r="K88" i="100"/>
  <c r="K87" i="100"/>
  <c r="I87" i="100"/>
  <c r="I86" i="100"/>
  <c r="I98" i="100" s="1"/>
  <c r="I146" i="100" s="1"/>
  <c r="J82" i="100"/>
  <c r="J145" i="100" s="1"/>
  <c r="I82" i="100"/>
  <c r="I145" i="100" s="1"/>
  <c r="H82" i="100"/>
  <c r="H145" i="100" s="1"/>
  <c r="G82" i="100"/>
  <c r="G145" i="100" s="1"/>
  <c r="F82" i="100"/>
  <c r="F145" i="100" s="1"/>
  <c r="K80" i="100"/>
  <c r="K79" i="100"/>
  <c r="K78" i="100"/>
  <c r="K82" i="100" s="1"/>
  <c r="K145" i="100" s="1"/>
  <c r="K77" i="100"/>
  <c r="J74" i="100"/>
  <c r="J144" i="100" s="1"/>
  <c r="I74" i="100"/>
  <c r="I144" i="100" s="1"/>
  <c r="H74" i="100"/>
  <c r="H144" i="100" s="1"/>
  <c r="G74" i="100"/>
  <c r="G144" i="100" s="1"/>
  <c r="F74" i="100"/>
  <c r="F144" i="100" s="1"/>
  <c r="K72" i="100"/>
  <c r="K71" i="100"/>
  <c r="K70" i="100"/>
  <c r="K69" i="100"/>
  <c r="K68" i="100"/>
  <c r="K74" i="100" s="1"/>
  <c r="K144" i="100" s="1"/>
  <c r="J143" i="100"/>
  <c r="I143" i="100"/>
  <c r="H143" i="100"/>
  <c r="G64" i="100"/>
  <c r="F64" i="100"/>
  <c r="F143" i="100" s="1"/>
  <c r="K62" i="100"/>
  <c r="K61" i="100"/>
  <c r="K60" i="100"/>
  <c r="K59" i="100"/>
  <c r="K58" i="100"/>
  <c r="K57" i="100"/>
  <c r="K56" i="100"/>
  <c r="K55" i="100"/>
  <c r="K54" i="100"/>
  <c r="K53" i="100"/>
  <c r="K143" i="100" s="1"/>
  <c r="J49" i="100"/>
  <c r="J142" i="100" s="1"/>
  <c r="I49" i="100"/>
  <c r="H49" i="100"/>
  <c r="H142" i="100" s="1"/>
  <c r="G49" i="100"/>
  <c r="G142" i="100" s="1"/>
  <c r="F49" i="100"/>
  <c r="F142" i="100" s="1"/>
  <c r="K47" i="100"/>
  <c r="K46" i="100"/>
  <c r="K45" i="100"/>
  <c r="K44" i="100"/>
  <c r="K43" i="100"/>
  <c r="K42" i="100"/>
  <c r="K41" i="100"/>
  <c r="K40" i="100"/>
  <c r="K49" i="100" s="1"/>
  <c r="K142" i="100" s="1"/>
  <c r="J36" i="100"/>
  <c r="J141" i="100" s="1"/>
  <c r="H36" i="100"/>
  <c r="H141" i="100" s="1"/>
  <c r="G36" i="100"/>
  <c r="F36" i="100"/>
  <c r="F141" i="100" s="1"/>
  <c r="K34" i="100"/>
  <c r="I34" i="100"/>
  <c r="I33" i="100"/>
  <c r="K33" i="100" s="1"/>
  <c r="K32" i="100"/>
  <c r="I32" i="100"/>
  <c r="I31" i="100"/>
  <c r="K31" i="100" s="1"/>
  <c r="K30" i="100"/>
  <c r="I30" i="100"/>
  <c r="K29" i="100"/>
  <c r="K28" i="100"/>
  <c r="I28" i="100"/>
  <c r="I27" i="100"/>
  <c r="I36" i="100" s="1"/>
  <c r="I141" i="100" s="1"/>
  <c r="K26" i="100"/>
  <c r="K25" i="100"/>
  <c r="K24" i="100"/>
  <c r="K23" i="100"/>
  <c r="K22" i="100"/>
  <c r="K21" i="100"/>
  <c r="K18" i="100"/>
  <c r="K150" i="100" s="1"/>
  <c r="J152" i="100" l="1"/>
  <c r="I152" i="100"/>
  <c r="F152" i="100"/>
  <c r="G152" i="100"/>
  <c r="H152" i="100"/>
  <c r="K27" i="100"/>
  <c r="K36" i="100" s="1"/>
  <c r="K141" i="100" s="1"/>
  <c r="K152" i="100" s="1"/>
  <c r="K86" i="100"/>
  <c r="K98" i="100" s="1"/>
  <c r="K146" i="100" s="1"/>
  <c r="F155" i="100" l="1"/>
  <c r="F154" i="100"/>
  <c r="K150" i="83" l="1"/>
  <c r="J150" i="83"/>
  <c r="I150" i="83"/>
  <c r="H150" i="83"/>
  <c r="J149" i="83"/>
  <c r="F149" i="83"/>
  <c r="K148" i="83"/>
  <c r="H146" i="83"/>
  <c r="G146" i="83"/>
  <c r="I145" i="83"/>
  <c r="G144" i="83"/>
  <c r="J143" i="83"/>
  <c r="I143" i="83"/>
  <c r="F143" i="83"/>
  <c r="J137" i="83"/>
  <c r="I137" i="83"/>
  <c r="I149" i="83" s="1"/>
  <c r="H137" i="83"/>
  <c r="H149" i="83" s="1"/>
  <c r="G137" i="83"/>
  <c r="G149" i="83" s="1"/>
  <c r="F137" i="83"/>
  <c r="K135" i="83"/>
  <c r="K134" i="83"/>
  <c r="K133" i="83"/>
  <c r="K137" i="83" s="1"/>
  <c r="K149" i="83" s="1"/>
  <c r="K132" i="83"/>
  <c r="K131" i="83"/>
  <c r="F123" i="83"/>
  <c r="F127" i="83" s="1"/>
  <c r="F119" i="83"/>
  <c r="J108" i="83"/>
  <c r="J147" i="83" s="1"/>
  <c r="I108" i="83"/>
  <c r="I147" i="83" s="1"/>
  <c r="H108" i="83"/>
  <c r="H147" i="83" s="1"/>
  <c r="G108" i="83"/>
  <c r="G147" i="83" s="1"/>
  <c r="F108" i="83"/>
  <c r="F147" i="83" s="1"/>
  <c r="K106" i="83"/>
  <c r="I106" i="83"/>
  <c r="I105" i="83"/>
  <c r="K105" i="83" s="1"/>
  <c r="K104" i="83"/>
  <c r="K103" i="83"/>
  <c r="K102" i="83"/>
  <c r="J98" i="83"/>
  <c r="J146" i="83" s="1"/>
  <c r="H98" i="83"/>
  <c r="G98" i="83"/>
  <c r="F98" i="83"/>
  <c r="F146" i="83" s="1"/>
  <c r="I96" i="83"/>
  <c r="K96" i="83" s="1"/>
  <c r="I95" i="83"/>
  <c r="K95" i="83" s="1"/>
  <c r="K94" i="83"/>
  <c r="K93" i="83"/>
  <c r="K92" i="83"/>
  <c r="K91" i="83"/>
  <c r="I91" i="83"/>
  <c r="I90" i="83"/>
  <c r="K90" i="83" s="1"/>
  <c r="K89" i="83"/>
  <c r="I89" i="83"/>
  <c r="K88" i="83"/>
  <c r="I87" i="83"/>
  <c r="K87" i="83" s="1"/>
  <c r="I86" i="83"/>
  <c r="I98" i="83" s="1"/>
  <c r="I146" i="83" s="1"/>
  <c r="J82" i="83"/>
  <c r="J145" i="83" s="1"/>
  <c r="I82" i="83"/>
  <c r="H82" i="83"/>
  <c r="H145" i="83" s="1"/>
  <c r="G82" i="83"/>
  <c r="G145" i="83" s="1"/>
  <c r="F82" i="83"/>
  <c r="F145" i="83" s="1"/>
  <c r="K80" i="83"/>
  <c r="K79" i="83"/>
  <c r="K78" i="83"/>
  <c r="K77" i="83"/>
  <c r="K82" i="83" s="1"/>
  <c r="K145" i="83" s="1"/>
  <c r="J74" i="83"/>
  <c r="J144" i="83" s="1"/>
  <c r="I74" i="83"/>
  <c r="I144" i="83" s="1"/>
  <c r="H74" i="83"/>
  <c r="H144" i="83" s="1"/>
  <c r="G74" i="83"/>
  <c r="F74" i="83"/>
  <c r="F144" i="83" s="1"/>
  <c r="K72" i="83"/>
  <c r="K71" i="83"/>
  <c r="K70" i="83"/>
  <c r="K69" i="83"/>
  <c r="K68" i="83"/>
  <c r="K74" i="83" s="1"/>
  <c r="K144" i="83" s="1"/>
  <c r="J64" i="83"/>
  <c r="I64" i="83"/>
  <c r="H64" i="83"/>
  <c r="H143" i="83" s="1"/>
  <c r="G64" i="83"/>
  <c r="G143" i="83" s="1"/>
  <c r="F64" i="83"/>
  <c r="K62" i="83"/>
  <c r="K61" i="83"/>
  <c r="K60" i="83"/>
  <c r="K59" i="83"/>
  <c r="K58" i="83"/>
  <c r="K57" i="83"/>
  <c r="K56" i="83"/>
  <c r="K64" i="83" s="1"/>
  <c r="K143" i="83" s="1"/>
  <c r="K55" i="83"/>
  <c r="K54" i="83"/>
  <c r="K53" i="83"/>
  <c r="J49" i="83"/>
  <c r="J142" i="83" s="1"/>
  <c r="I49" i="83"/>
  <c r="I142" i="83" s="1"/>
  <c r="H49" i="83"/>
  <c r="H142" i="83" s="1"/>
  <c r="G49" i="83"/>
  <c r="G142" i="83" s="1"/>
  <c r="F49" i="83"/>
  <c r="F142" i="83" s="1"/>
  <c r="K47" i="83"/>
  <c r="K46" i="83"/>
  <c r="K45" i="83"/>
  <c r="K44" i="83"/>
  <c r="K43" i="83"/>
  <c r="K42" i="83"/>
  <c r="K41" i="83"/>
  <c r="K49" i="83" s="1"/>
  <c r="K142" i="83" s="1"/>
  <c r="K40" i="83"/>
  <c r="J36" i="83"/>
  <c r="J141" i="83" s="1"/>
  <c r="J152" i="83" s="1"/>
  <c r="I36" i="83"/>
  <c r="I141" i="83" s="1"/>
  <c r="H36" i="83"/>
  <c r="H141" i="83" s="1"/>
  <c r="G36" i="83"/>
  <c r="G141" i="83" s="1"/>
  <c r="F36" i="83"/>
  <c r="F141" i="83" s="1"/>
  <c r="F152" i="83" s="1"/>
  <c r="K34" i="83"/>
  <c r="I34" i="83"/>
  <c r="I33" i="83"/>
  <c r="K33" i="83" s="1"/>
  <c r="K32" i="83"/>
  <c r="I32" i="83"/>
  <c r="I31" i="83"/>
  <c r="K31" i="83" s="1"/>
  <c r="K30" i="83"/>
  <c r="K29" i="83"/>
  <c r="I28" i="83"/>
  <c r="K28" i="83" s="1"/>
  <c r="K27" i="83"/>
  <c r="I27" i="83"/>
  <c r="K26" i="83"/>
  <c r="K25" i="83"/>
  <c r="K24" i="83"/>
  <c r="I24" i="83"/>
  <c r="I23" i="83"/>
  <c r="K23" i="83" s="1"/>
  <c r="K22" i="83"/>
  <c r="K21" i="83"/>
  <c r="K18" i="83"/>
  <c r="G152" i="83" l="1"/>
  <c r="K108" i="83"/>
  <c r="K147" i="83" s="1"/>
  <c r="H152" i="83"/>
  <c r="K36" i="83"/>
  <c r="K141" i="83" s="1"/>
  <c r="I152" i="83"/>
  <c r="K86" i="83"/>
  <c r="K98" i="83" s="1"/>
  <c r="K146" i="83" s="1"/>
  <c r="K152" i="83" l="1"/>
  <c r="F154" i="83" l="1"/>
  <c r="F155" i="83"/>
  <c r="K150" i="117" l="1"/>
  <c r="J150" i="117"/>
  <c r="I150" i="117"/>
  <c r="H150" i="117"/>
  <c r="G149" i="117"/>
  <c r="K148" i="117"/>
  <c r="J147" i="117"/>
  <c r="G147" i="117"/>
  <c r="F147" i="117"/>
  <c r="J143" i="117"/>
  <c r="G143" i="117"/>
  <c r="F143" i="117"/>
  <c r="J137" i="117"/>
  <c r="J149" i="117" s="1"/>
  <c r="I137" i="117"/>
  <c r="I149" i="117" s="1"/>
  <c r="H137" i="117"/>
  <c r="H149" i="117" s="1"/>
  <c r="G137" i="117"/>
  <c r="F137" i="117"/>
  <c r="F149" i="117" s="1"/>
  <c r="K135" i="117"/>
  <c r="K134" i="117"/>
  <c r="K133" i="117"/>
  <c r="K132" i="117"/>
  <c r="K131" i="117"/>
  <c r="K137" i="117" s="1"/>
  <c r="K149" i="117" s="1"/>
  <c r="F119" i="117"/>
  <c r="J108" i="117"/>
  <c r="H108" i="117"/>
  <c r="H147" i="117" s="1"/>
  <c r="G108" i="117"/>
  <c r="F108" i="117"/>
  <c r="I106" i="117"/>
  <c r="K106" i="117" s="1"/>
  <c r="I105" i="117"/>
  <c r="K105" i="117" s="1"/>
  <c r="I104" i="117"/>
  <c r="K104" i="117" s="1"/>
  <c r="I103" i="117"/>
  <c r="K103" i="117" s="1"/>
  <c r="I102" i="117"/>
  <c r="I108" i="117" s="1"/>
  <c r="I147" i="117" s="1"/>
  <c r="J98" i="117"/>
  <c r="J146" i="117" s="1"/>
  <c r="H98" i="117"/>
  <c r="H146" i="117" s="1"/>
  <c r="G98" i="117"/>
  <c r="G146" i="117" s="1"/>
  <c r="I96" i="117"/>
  <c r="K96" i="117" s="1"/>
  <c r="I95" i="117"/>
  <c r="K95" i="117" s="1"/>
  <c r="I94" i="117"/>
  <c r="K94" i="117" s="1"/>
  <c r="I93" i="117"/>
  <c r="K93" i="117" s="1"/>
  <c r="I92" i="117"/>
  <c r="K92" i="117" s="1"/>
  <c r="F92" i="117"/>
  <c r="I91" i="117"/>
  <c r="K91" i="117" s="1"/>
  <c r="K90" i="117"/>
  <c r="I90" i="117"/>
  <c r="I89" i="117"/>
  <c r="K89" i="117" s="1"/>
  <c r="K88" i="117"/>
  <c r="I88" i="117"/>
  <c r="F88" i="117"/>
  <c r="F98" i="117" s="1"/>
  <c r="F146" i="117" s="1"/>
  <c r="I87" i="117"/>
  <c r="I98" i="117" s="1"/>
  <c r="I146" i="117" s="1"/>
  <c r="I86" i="117"/>
  <c r="K86" i="117" s="1"/>
  <c r="J82" i="117"/>
  <c r="J145" i="117" s="1"/>
  <c r="H82" i="117"/>
  <c r="H145" i="117" s="1"/>
  <c r="G82" i="117"/>
  <c r="G145" i="117" s="1"/>
  <c r="F82" i="117"/>
  <c r="F145" i="117" s="1"/>
  <c r="I80" i="117"/>
  <c r="K80" i="117" s="1"/>
  <c r="I79" i="117"/>
  <c r="K79" i="117" s="1"/>
  <c r="I78" i="117"/>
  <c r="K78" i="117" s="1"/>
  <c r="I77" i="117"/>
  <c r="I82" i="117" s="1"/>
  <c r="I145" i="117" s="1"/>
  <c r="J74" i="117"/>
  <c r="J144" i="117" s="1"/>
  <c r="H74" i="117"/>
  <c r="H144" i="117" s="1"/>
  <c r="G74" i="117"/>
  <c r="G144" i="117" s="1"/>
  <c r="F74" i="117"/>
  <c r="F144" i="117" s="1"/>
  <c r="I72" i="117"/>
  <c r="K72" i="117" s="1"/>
  <c r="I71" i="117"/>
  <c r="K71" i="117" s="1"/>
  <c r="I70" i="117"/>
  <c r="K70" i="117" s="1"/>
  <c r="I69" i="117"/>
  <c r="K69" i="117" s="1"/>
  <c r="I68" i="117"/>
  <c r="I74" i="117" s="1"/>
  <c r="I144" i="117" s="1"/>
  <c r="J64" i="117"/>
  <c r="H64" i="117"/>
  <c r="H143" i="117" s="1"/>
  <c r="G64" i="117"/>
  <c r="F64" i="117"/>
  <c r="I62" i="117"/>
  <c r="I61" i="117"/>
  <c r="I60" i="117"/>
  <c r="I59" i="117"/>
  <c r="I58" i="117"/>
  <c r="I57" i="117"/>
  <c r="I56" i="117"/>
  <c r="I55" i="117"/>
  <c r="I54" i="117"/>
  <c r="I64" i="117" s="1"/>
  <c r="I143" i="117" s="1"/>
  <c r="I53" i="117"/>
  <c r="J49" i="117"/>
  <c r="J142" i="117" s="1"/>
  <c r="G49" i="117"/>
  <c r="G142" i="117" s="1"/>
  <c r="I47" i="117"/>
  <c r="K47" i="117" s="1"/>
  <c r="I46" i="117"/>
  <c r="K46" i="117" s="1"/>
  <c r="I45" i="117"/>
  <c r="K45" i="117" s="1"/>
  <c r="I44" i="117"/>
  <c r="K44" i="117" s="1"/>
  <c r="H43" i="117"/>
  <c r="F43" i="117"/>
  <c r="F49" i="117" s="1"/>
  <c r="F142" i="117" s="1"/>
  <c r="I42" i="117"/>
  <c r="K42" i="117" s="1"/>
  <c r="I41" i="117"/>
  <c r="K41" i="117" s="1"/>
  <c r="I40" i="117"/>
  <c r="J36" i="117"/>
  <c r="J141" i="117" s="1"/>
  <c r="J152" i="117" s="1"/>
  <c r="G36" i="117"/>
  <c r="G141" i="117" s="1"/>
  <c r="F36" i="117"/>
  <c r="F141" i="117" s="1"/>
  <c r="I34" i="117"/>
  <c r="K34" i="117" s="1"/>
  <c r="I33" i="117"/>
  <c r="K33" i="117" s="1"/>
  <c r="I32" i="117"/>
  <c r="K32" i="117" s="1"/>
  <c r="I31" i="117"/>
  <c r="K31" i="117" s="1"/>
  <c r="I30" i="117"/>
  <c r="K30" i="117" s="1"/>
  <c r="I29" i="117"/>
  <c r="K29" i="117" s="1"/>
  <c r="I28" i="117"/>
  <c r="K28" i="117" s="1"/>
  <c r="I27" i="117"/>
  <c r="K27" i="117" s="1"/>
  <c r="I26" i="117"/>
  <c r="K26" i="117" s="1"/>
  <c r="I25" i="117"/>
  <c r="K25" i="117" s="1"/>
  <c r="I24" i="117"/>
  <c r="K24" i="117" s="1"/>
  <c r="I23" i="117"/>
  <c r="K23" i="117" s="1"/>
  <c r="I22" i="117"/>
  <c r="K22" i="117" s="1"/>
  <c r="I21" i="117"/>
  <c r="I36" i="117" s="1"/>
  <c r="I141" i="117" s="1"/>
  <c r="H21" i="117"/>
  <c r="H36" i="117" s="1"/>
  <c r="H141" i="117" s="1"/>
  <c r="K18" i="117"/>
  <c r="K43" i="117" l="1"/>
  <c r="I49" i="117"/>
  <c r="I142" i="117" s="1"/>
  <c r="I152" i="117" s="1"/>
  <c r="F152" i="117"/>
  <c r="H152" i="117"/>
  <c r="G152" i="117"/>
  <c r="K64" i="117"/>
  <c r="K143" i="117" s="1"/>
  <c r="K21" i="117"/>
  <c r="K36" i="117" s="1"/>
  <c r="K141" i="117" s="1"/>
  <c r="K68" i="117"/>
  <c r="K74" i="117" s="1"/>
  <c r="K144" i="117" s="1"/>
  <c r="K77" i="117"/>
  <c r="K82" i="117" s="1"/>
  <c r="K145" i="117" s="1"/>
  <c r="K87" i="117"/>
  <c r="K98" i="117" s="1"/>
  <c r="K146" i="117" s="1"/>
  <c r="I43" i="117"/>
  <c r="H49" i="117"/>
  <c r="H142" i="117" s="1"/>
  <c r="K102" i="117"/>
  <c r="K108" i="117" s="1"/>
  <c r="K147" i="117" s="1"/>
  <c r="K40" i="117"/>
  <c r="K49" i="117" s="1"/>
  <c r="K142" i="117" s="1"/>
  <c r="K152" i="117" l="1"/>
  <c r="F155" i="117" l="1"/>
  <c r="F154" i="117"/>
  <c r="J150" i="81" l="1"/>
  <c r="I150" i="81"/>
  <c r="H150" i="81"/>
  <c r="H149" i="81"/>
  <c r="K148" i="81"/>
  <c r="G147" i="81"/>
  <c r="G145" i="81"/>
  <c r="J137" i="81"/>
  <c r="J149" i="81" s="1"/>
  <c r="I137" i="81"/>
  <c r="I149" i="81" s="1"/>
  <c r="H137" i="81"/>
  <c r="G137" i="81"/>
  <c r="G149" i="81" s="1"/>
  <c r="F137" i="81"/>
  <c r="F149" i="81" s="1"/>
  <c r="K135" i="81"/>
  <c r="K134" i="81"/>
  <c r="K133" i="81"/>
  <c r="K132" i="81"/>
  <c r="K131" i="81"/>
  <c r="K137" i="81" s="1"/>
  <c r="K149" i="81" s="1"/>
  <c r="F118" i="81"/>
  <c r="F119" i="81" s="1"/>
  <c r="F123" i="81" s="1"/>
  <c r="F127" i="81" s="1"/>
  <c r="J108" i="81"/>
  <c r="J147" i="81" s="1"/>
  <c r="H108" i="81"/>
  <c r="H147" i="81" s="1"/>
  <c r="G108" i="81"/>
  <c r="F108" i="81"/>
  <c r="F147" i="81" s="1"/>
  <c r="I106" i="81"/>
  <c r="K106" i="81" s="1"/>
  <c r="I105" i="81"/>
  <c r="K105" i="81" s="1"/>
  <c r="I104" i="81"/>
  <c r="K104" i="81" s="1"/>
  <c r="I103" i="81"/>
  <c r="K103" i="81" s="1"/>
  <c r="I102" i="81"/>
  <c r="I108" i="81" s="1"/>
  <c r="I147" i="81" s="1"/>
  <c r="J98" i="81"/>
  <c r="J146" i="81" s="1"/>
  <c r="H98" i="81"/>
  <c r="H146" i="81" s="1"/>
  <c r="G98" i="81"/>
  <c r="G146" i="81" s="1"/>
  <c r="F98" i="81"/>
  <c r="F146" i="81" s="1"/>
  <c r="I96" i="81"/>
  <c r="K96" i="81" s="1"/>
  <c r="I95" i="81"/>
  <c r="K95" i="81" s="1"/>
  <c r="I94" i="81"/>
  <c r="K94" i="81" s="1"/>
  <c r="I93" i="81"/>
  <c r="K93" i="81" s="1"/>
  <c r="I92" i="81"/>
  <c r="K92" i="81" s="1"/>
  <c r="I91" i="81"/>
  <c r="K91" i="81" s="1"/>
  <c r="I90" i="81"/>
  <c r="K90" i="81" s="1"/>
  <c r="I89" i="81"/>
  <c r="K89" i="81" s="1"/>
  <c r="I88" i="81"/>
  <c r="K88" i="81" s="1"/>
  <c r="I87" i="81"/>
  <c r="K87" i="81" s="1"/>
  <c r="I86" i="81"/>
  <c r="I98" i="81" s="1"/>
  <c r="I146" i="81" s="1"/>
  <c r="J82" i="81"/>
  <c r="J145" i="81" s="1"/>
  <c r="I82" i="81"/>
  <c r="I145" i="81" s="1"/>
  <c r="H82" i="81"/>
  <c r="H145" i="81" s="1"/>
  <c r="G82" i="81"/>
  <c r="F82" i="81"/>
  <c r="F145" i="81" s="1"/>
  <c r="K80" i="81"/>
  <c r="K79" i="81"/>
  <c r="K78" i="81"/>
  <c r="K77" i="81"/>
  <c r="K82" i="81" s="1"/>
  <c r="K145" i="81" s="1"/>
  <c r="J74" i="81"/>
  <c r="J144" i="81" s="1"/>
  <c r="H74" i="81"/>
  <c r="H144" i="81" s="1"/>
  <c r="G74" i="81"/>
  <c r="G144" i="81" s="1"/>
  <c r="F74" i="81"/>
  <c r="F144" i="81" s="1"/>
  <c r="K72" i="81"/>
  <c r="K71" i="81"/>
  <c r="I70" i="81"/>
  <c r="I74" i="81" s="1"/>
  <c r="I144" i="81" s="1"/>
  <c r="K69" i="81"/>
  <c r="K68" i="81"/>
  <c r="F68" i="81"/>
  <c r="J64" i="81"/>
  <c r="J143" i="81" s="1"/>
  <c r="H64" i="81"/>
  <c r="H143" i="81" s="1"/>
  <c r="G64" i="81"/>
  <c r="G143" i="81" s="1"/>
  <c r="F64" i="81"/>
  <c r="F143" i="81" s="1"/>
  <c r="I62" i="81"/>
  <c r="K62" i="81" s="1"/>
  <c r="K61" i="81"/>
  <c r="I61" i="81"/>
  <c r="I60" i="81"/>
  <c r="K60" i="81" s="1"/>
  <c r="K59" i="81"/>
  <c r="I59" i="81"/>
  <c r="I58" i="81"/>
  <c r="K58" i="81" s="1"/>
  <c r="K57" i="81"/>
  <c r="I57" i="81"/>
  <c r="I56" i="81"/>
  <c r="K56" i="81" s="1"/>
  <c r="K55" i="81"/>
  <c r="I55" i="81"/>
  <c r="I54" i="81"/>
  <c r="K54" i="81" s="1"/>
  <c r="K53" i="81"/>
  <c r="I53" i="81"/>
  <c r="I64" i="81" s="1"/>
  <c r="I143" i="81" s="1"/>
  <c r="J49" i="81"/>
  <c r="J142" i="81" s="1"/>
  <c r="I49" i="81"/>
  <c r="I142" i="81" s="1"/>
  <c r="H49" i="81"/>
  <c r="H142" i="81" s="1"/>
  <c r="G49" i="81"/>
  <c r="G142" i="81" s="1"/>
  <c r="F49" i="81"/>
  <c r="F142" i="81" s="1"/>
  <c r="K47" i="81"/>
  <c r="I47" i="81"/>
  <c r="I46" i="81"/>
  <c r="K46" i="81" s="1"/>
  <c r="K45" i="81"/>
  <c r="I45" i="81"/>
  <c r="I44" i="81"/>
  <c r="K44" i="81" s="1"/>
  <c r="K43" i="81"/>
  <c r="I43" i="81"/>
  <c r="I42" i="81"/>
  <c r="K42" i="81" s="1"/>
  <c r="K41" i="81"/>
  <c r="I41" i="81"/>
  <c r="I40" i="81"/>
  <c r="K40" i="81" s="1"/>
  <c r="K49" i="81" s="1"/>
  <c r="K142" i="81" s="1"/>
  <c r="J36" i="81"/>
  <c r="J141" i="81" s="1"/>
  <c r="H36" i="81"/>
  <c r="H141" i="81" s="1"/>
  <c r="G36" i="81"/>
  <c r="G141" i="81" s="1"/>
  <c r="G152" i="81" s="1"/>
  <c r="F36" i="81"/>
  <c r="F141" i="81" s="1"/>
  <c r="F152" i="81" s="1"/>
  <c r="I34" i="81"/>
  <c r="K34" i="81" s="1"/>
  <c r="K33" i="81"/>
  <c r="I33" i="81"/>
  <c r="I32" i="81"/>
  <c r="K32" i="81" s="1"/>
  <c r="K31" i="81"/>
  <c r="I31" i="81"/>
  <c r="I30" i="81"/>
  <c r="K30" i="81" s="1"/>
  <c r="K29" i="81"/>
  <c r="I29" i="81"/>
  <c r="I28" i="81"/>
  <c r="K28" i="81" s="1"/>
  <c r="K27" i="81"/>
  <c r="I27" i="81"/>
  <c r="I26" i="81"/>
  <c r="K26" i="81" s="1"/>
  <c r="K25" i="81"/>
  <c r="I25" i="81"/>
  <c r="I24" i="81"/>
  <c r="K24" i="81" s="1"/>
  <c r="K23" i="81"/>
  <c r="I23" i="81"/>
  <c r="I22" i="81"/>
  <c r="K22" i="81" s="1"/>
  <c r="K21" i="81"/>
  <c r="K36" i="81" s="1"/>
  <c r="K141" i="81" s="1"/>
  <c r="I21" i="81"/>
  <c r="I36" i="81" s="1"/>
  <c r="I141" i="81" s="1"/>
  <c r="K18" i="81"/>
  <c r="K150" i="81" s="1"/>
  <c r="K74" i="81" l="1"/>
  <c r="K144" i="81" s="1"/>
  <c r="K152" i="81" s="1"/>
  <c r="H152" i="81"/>
  <c r="K64" i="81"/>
  <c r="K143" i="81" s="1"/>
  <c r="I152" i="81"/>
  <c r="J152" i="81"/>
  <c r="K70" i="81"/>
  <c r="K86" i="81"/>
  <c r="K98" i="81" s="1"/>
  <c r="K146" i="81" s="1"/>
  <c r="K102" i="81"/>
  <c r="K108" i="81" s="1"/>
  <c r="K147" i="81" s="1"/>
  <c r="F155" i="81" l="1"/>
  <c r="F154" i="81"/>
  <c r="J150" i="97" l="1"/>
  <c r="I150" i="97"/>
  <c r="H150" i="97"/>
  <c r="J149" i="97"/>
  <c r="F149" i="97"/>
  <c r="K148" i="97"/>
  <c r="H146" i="97"/>
  <c r="G146" i="97"/>
  <c r="J143" i="97"/>
  <c r="F143" i="97"/>
  <c r="H142" i="97"/>
  <c r="G142" i="97"/>
  <c r="J141" i="97"/>
  <c r="F141" i="97"/>
  <c r="J137" i="97"/>
  <c r="I137" i="97"/>
  <c r="I149" i="97" s="1"/>
  <c r="H137" i="97"/>
  <c r="H149" i="97" s="1"/>
  <c r="G137" i="97"/>
  <c r="G149" i="97" s="1"/>
  <c r="F137" i="97"/>
  <c r="K135" i="97"/>
  <c r="K134" i="97"/>
  <c r="K133" i="97"/>
  <c r="K137" i="97" s="1"/>
  <c r="K149" i="97" s="1"/>
  <c r="K132" i="97"/>
  <c r="K131" i="97"/>
  <c r="F123" i="97"/>
  <c r="F127" i="97" s="1"/>
  <c r="F119" i="97"/>
  <c r="J108" i="97"/>
  <c r="J147" i="97" s="1"/>
  <c r="I108" i="97"/>
  <c r="I147" i="97" s="1"/>
  <c r="H108" i="97"/>
  <c r="H147" i="97" s="1"/>
  <c r="G108" i="97"/>
  <c r="G147" i="97" s="1"/>
  <c r="F108" i="97"/>
  <c r="F147" i="97" s="1"/>
  <c r="K106" i="97"/>
  <c r="I106" i="97"/>
  <c r="I105" i="97"/>
  <c r="K105" i="97" s="1"/>
  <c r="K104" i="97"/>
  <c r="I104" i="97"/>
  <c r="I103" i="97"/>
  <c r="K103" i="97" s="1"/>
  <c r="K102" i="97"/>
  <c r="K108" i="97" s="1"/>
  <c r="K147" i="97" s="1"/>
  <c r="I102" i="97"/>
  <c r="J98" i="97"/>
  <c r="J146" i="97" s="1"/>
  <c r="I98" i="97"/>
  <c r="I146" i="97" s="1"/>
  <c r="H98" i="97"/>
  <c r="G98" i="97"/>
  <c r="F98" i="97"/>
  <c r="F146" i="97" s="1"/>
  <c r="K96" i="97"/>
  <c r="I96" i="97"/>
  <c r="I95" i="97"/>
  <c r="K95" i="97" s="1"/>
  <c r="K94" i="97"/>
  <c r="I94" i="97"/>
  <c r="I93" i="97"/>
  <c r="K93" i="97" s="1"/>
  <c r="K92" i="97"/>
  <c r="I92" i="97"/>
  <c r="I91" i="97"/>
  <c r="K91" i="97" s="1"/>
  <c r="K90" i="97"/>
  <c r="I90" i="97"/>
  <c r="I89" i="97"/>
  <c r="K89" i="97" s="1"/>
  <c r="K88" i="97"/>
  <c r="I88" i="97"/>
  <c r="I87" i="97"/>
  <c r="K87" i="97" s="1"/>
  <c r="K86" i="97"/>
  <c r="I86" i="97"/>
  <c r="J82" i="97"/>
  <c r="J145" i="97" s="1"/>
  <c r="I82" i="97"/>
  <c r="I145" i="97" s="1"/>
  <c r="H82" i="97"/>
  <c r="H145" i="97" s="1"/>
  <c r="G82" i="97"/>
  <c r="G145" i="97" s="1"/>
  <c r="F82" i="97"/>
  <c r="F145" i="97" s="1"/>
  <c r="K80" i="97"/>
  <c r="K79" i="97"/>
  <c r="K78" i="97"/>
  <c r="K77" i="97"/>
  <c r="K82" i="97" s="1"/>
  <c r="K145" i="97" s="1"/>
  <c r="J74" i="97"/>
  <c r="J144" i="97" s="1"/>
  <c r="H74" i="97"/>
  <c r="H144" i="97" s="1"/>
  <c r="G74" i="97"/>
  <c r="G144" i="97" s="1"/>
  <c r="F74" i="97"/>
  <c r="F144" i="97" s="1"/>
  <c r="I72" i="97"/>
  <c r="K72" i="97" s="1"/>
  <c r="K71" i="97"/>
  <c r="I71" i="97"/>
  <c r="I70" i="97"/>
  <c r="K70" i="97" s="1"/>
  <c r="K69" i="97"/>
  <c r="I69" i="97"/>
  <c r="I68" i="97"/>
  <c r="I74" i="97" s="1"/>
  <c r="I144" i="97" s="1"/>
  <c r="J64" i="97"/>
  <c r="H64" i="97"/>
  <c r="H143" i="97" s="1"/>
  <c r="G64" i="97"/>
  <c r="G143" i="97" s="1"/>
  <c r="F64" i="97"/>
  <c r="I62" i="97"/>
  <c r="I61" i="97"/>
  <c r="I60" i="97"/>
  <c r="I59" i="97"/>
  <c r="I58" i="97"/>
  <c r="I57" i="97"/>
  <c r="I56" i="97"/>
  <c r="I55" i="97"/>
  <c r="I54" i="97"/>
  <c r="I64" i="97" s="1"/>
  <c r="I143" i="97" s="1"/>
  <c r="I53" i="97"/>
  <c r="J49" i="97"/>
  <c r="J142" i="97" s="1"/>
  <c r="I49" i="97"/>
  <c r="I142" i="97" s="1"/>
  <c r="H49" i="97"/>
  <c r="G49" i="97"/>
  <c r="F49" i="97"/>
  <c r="F142" i="97" s="1"/>
  <c r="K47" i="97"/>
  <c r="I47" i="97"/>
  <c r="I46" i="97"/>
  <c r="K46" i="97" s="1"/>
  <c r="K45" i="97"/>
  <c r="I45" i="97"/>
  <c r="I44" i="97"/>
  <c r="K44" i="97" s="1"/>
  <c r="K43" i="97"/>
  <c r="I43" i="97"/>
  <c r="I42" i="97"/>
  <c r="K42" i="97" s="1"/>
  <c r="K41" i="97"/>
  <c r="I41" i="97"/>
  <c r="I40" i="97"/>
  <c r="K40" i="97" s="1"/>
  <c r="J36" i="97"/>
  <c r="H36" i="97"/>
  <c r="H141" i="97" s="1"/>
  <c r="G36" i="97"/>
  <c r="G141" i="97" s="1"/>
  <c r="F36" i="97"/>
  <c r="I34" i="97"/>
  <c r="K34" i="97" s="1"/>
  <c r="K33" i="97"/>
  <c r="I33" i="97"/>
  <c r="I32" i="97"/>
  <c r="K32" i="97" s="1"/>
  <c r="K31" i="97"/>
  <c r="I31" i="97"/>
  <c r="I30" i="97"/>
  <c r="K30" i="97" s="1"/>
  <c r="K29" i="97"/>
  <c r="I29" i="97"/>
  <c r="I28" i="97"/>
  <c r="K28" i="97" s="1"/>
  <c r="K27" i="97"/>
  <c r="I27" i="97"/>
  <c r="I26" i="97"/>
  <c r="K26" i="97" s="1"/>
  <c r="K25" i="97"/>
  <c r="I25" i="97"/>
  <c r="I24" i="97"/>
  <c r="K24" i="97" s="1"/>
  <c r="K23" i="97"/>
  <c r="I23" i="97"/>
  <c r="I22" i="97"/>
  <c r="I36" i="97" s="1"/>
  <c r="I141" i="97" s="1"/>
  <c r="K21" i="97"/>
  <c r="I21" i="97"/>
  <c r="K18" i="97"/>
  <c r="K150" i="97" s="1"/>
  <c r="F152" i="97" l="1"/>
  <c r="K49" i="97"/>
  <c r="K142" i="97" s="1"/>
  <c r="J152" i="97"/>
  <c r="I152" i="97"/>
  <c r="G152" i="97"/>
  <c r="K98" i="97"/>
  <c r="K146" i="97" s="1"/>
  <c r="H152" i="97"/>
  <c r="K64" i="97"/>
  <c r="K143" i="97" s="1"/>
  <c r="K22" i="97"/>
  <c r="K36" i="97" s="1"/>
  <c r="K141" i="97" s="1"/>
  <c r="K68" i="97"/>
  <c r="K74" i="97" s="1"/>
  <c r="K144" i="97" s="1"/>
  <c r="J150" i="104"/>
  <c r="I150" i="104"/>
  <c r="H150" i="104"/>
  <c r="J149" i="104"/>
  <c r="F149" i="104"/>
  <c r="K148" i="104"/>
  <c r="I145" i="104"/>
  <c r="G144" i="104"/>
  <c r="J143" i="104"/>
  <c r="F143" i="104"/>
  <c r="G141" i="104"/>
  <c r="J137" i="104"/>
  <c r="I137" i="104"/>
  <c r="I149" i="104" s="1"/>
  <c r="H137" i="104"/>
  <c r="H149" i="104" s="1"/>
  <c r="G137" i="104"/>
  <c r="G149" i="104" s="1"/>
  <c r="F137" i="104"/>
  <c r="K135" i="104"/>
  <c r="K134" i="104"/>
  <c r="K133" i="104"/>
  <c r="K137" i="104" s="1"/>
  <c r="K149" i="104" s="1"/>
  <c r="K132" i="104"/>
  <c r="K131" i="104"/>
  <c r="F118" i="104"/>
  <c r="F119" i="104" s="1"/>
  <c r="F123" i="104" s="1"/>
  <c r="F127" i="104" s="1"/>
  <c r="J108" i="104"/>
  <c r="J147" i="104" s="1"/>
  <c r="H108" i="104"/>
  <c r="H147" i="104" s="1"/>
  <c r="G108" i="104"/>
  <c r="G147" i="104" s="1"/>
  <c r="F108" i="104"/>
  <c r="F147" i="104" s="1"/>
  <c r="I106" i="104"/>
  <c r="K106" i="104" s="1"/>
  <c r="K105" i="104"/>
  <c r="I105" i="104"/>
  <c r="I104" i="104"/>
  <c r="K104" i="104" s="1"/>
  <c r="K103" i="104"/>
  <c r="I103" i="104"/>
  <c r="I102" i="104"/>
  <c r="I108" i="104" s="1"/>
  <c r="I147" i="104" s="1"/>
  <c r="J98" i="104"/>
  <c r="J146" i="104" s="1"/>
  <c r="H98" i="104"/>
  <c r="H146" i="104" s="1"/>
  <c r="G98" i="104"/>
  <c r="G146" i="104" s="1"/>
  <c r="F98" i="104"/>
  <c r="F146" i="104" s="1"/>
  <c r="I96" i="104"/>
  <c r="K96" i="104" s="1"/>
  <c r="K95" i="104"/>
  <c r="I95" i="104"/>
  <c r="I94" i="104"/>
  <c r="K94" i="104" s="1"/>
  <c r="K93" i="104"/>
  <c r="I93" i="104"/>
  <c r="I92" i="104"/>
  <c r="K92" i="104" s="1"/>
  <c r="K91" i="104"/>
  <c r="I91" i="104"/>
  <c r="I90" i="104"/>
  <c r="K90" i="104" s="1"/>
  <c r="K89" i="104"/>
  <c r="I89" i="104"/>
  <c r="I88" i="104"/>
  <c r="K88" i="104" s="1"/>
  <c r="K87" i="104"/>
  <c r="I87" i="104"/>
  <c r="I86" i="104"/>
  <c r="I98" i="104" s="1"/>
  <c r="I146" i="104" s="1"/>
  <c r="J82" i="104"/>
  <c r="J145" i="104" s="1"/>
  <c r="I82" i="104"/>
  <c r="H82" i="104"/>
  <c r="H145" i="104" s="1"/>
  <c r="G82" i="104"/>
  <c r="G145" i="104" s="1"/>
  <c r="F82" i="104"/>
  <c r="F145" i="104" s="1"/>
  <c r="K80" i="104"/>
  <c r="K79" i="104"/>
  <c r="K78" i="104"/>
  <c r="K82" i="104" s="1"/>
  <c r="K145" i="104" s="1"/>
  <c r="K77" i="104"/>
  <c r="J74" i="104"/>
  <c r="J144" i="104" s="1"/>
  <c r="I74" i="104"/>
  <c r="I144" i="104" s="1"/>
  <c r="H74" i="104"/>
  <c r="H144" i="104" s="1"/>
  <c r="G74" i="104"/>
  <c r="F74" i="104"/>
  <c r="F144" i="104" s="1"/>
  <c r="K72" i="104"/>
  <c r="K71" i="104"/>
  <c r="K70" i="104"/>
  <c r="K69" i="104"/>
  <c r="K68" i="104"/>
  <c r="K74" i="104" s="1"/>
  <c r="K144" i="104" s="1"/>
  <c r="J64" i="104"/>
  <c r="H64" i="104"/>
  <c r="H143" i="104" s="1"/>
  <c r="G64" i="104"/>
  <c r="G143" i="104" s="1"/>
  <c r="F64" i="104"/>
  <c r="I62" i="104"/>
  <c r="K62" i="104" s="1"/>
  <c r="K61" i="104"/>
  <c r="I61" i="104"/>
  <c r="I60" i="104"/>
  <c r="K60" i="104" s="1"/>
  <c r="K59" i="104"/>
  <c r="I59" i="104"/>
  <c r="I58" i="104"/>
  <c r="K58" i="104" s="1"/>
  <c r="K57" i="104"/>
  <c r="I57" i="104"/>
  <c r="I56" i="104"/>
  <c r="K56" i="104" s="1"/>
  <c r="K55" i="104"/>
  <c r="I55" i="104"/>
  <c r="I54" i="104"/>
  <c r="K54" i="104" s="1"/>
  <c r="H53" i="104"/>
  <c r="I53" i="104" s="1"/>
  <c r="J49" i="104"/>
  <c r="J142" i="104" s="1"/>
  <c r="H49" i="104"/>
  <c r="H142" i="104" s="1"/>
  <c r="G49" i="104"/>
  <c r="G142" i="104" s="1"/>
  <c r="F49" i="104"/>
  <c r="F142" i="104" s="1"/>
  <c r="I47" i="104"/>
  <c r="K47" i="104" s="1"/>
  <c r="I46" i="104"/>
  <c r="K46" i="104" s="1"/>
  <c r="I45" i="104"/>
  <c r="K45" i="104" s="1"/>
  <c r="I44" i="104"/>
  <c r="K44" i="104" s="1"/>
  <c r="I43" i="104"/>
  <c r="K43" i="104" s="1"/>
  <c r="I42" i="104"/>
  <c r="K42" i="104" s="1"/>
  <c r="I41" i="104"/>
  <c r="K41" i="104" s="1"/>
  <c r="I40" i="104"/>
  <c r="K40" i="104" s="1"/>
  <c r="K49" i="104" s="1"/>
  <c r="K142" i="104" s="1"/>
  <c r="J36" i="104"/>
  <c r="J141" i="104" s="1"/>
  <c r="H36" i="104"/>
  <c r="H141" i="104" s="1"/>
  <c r="G36" i="104"/>
  <c r="F36" i="104"/>
  <c r="F141" i="104" s="1"/>
  <c r="F152" i="104" s="1"/>
  <c r="I34" i="104"/>
  <c r="K34" i="104" s="1"/>
  <c r="I33" i="104"/>
  <c r="K33" i="104" s="1"/>
  <c r="I32" i="104"/>
  <c r="K32" i="104" s="1"/>
  <c r="I31" i="104"/>
  <c r="K31" i="104" s="1"/>
  <c r="I30" i="104"/>
  <c r="K30" i="104" s="1"/>
  <c r="I29" i="104"/>
  <c r="K29" i="104" s="1"/>
  <c r="I28" i="104"/>
  <c r="K28" i="104" s="1"/>
  <c r="I27" i="104"/>
  <c r="K27" i="104" s="1"/>
  <c r="I26" i="104"/>
  <c r="K26" i="104" s="1"/>
  <c r="I25" i="104"/>
  <c r="K25" i="104" s="1"/>
  <c r="I24" i="104"/>
  <c r="K24" i="104" s="1"/>
  <c r="I23" i="104"/>
  <c r="K23" i="104" s="1"/>
  <c r="I22" i="104"/>
  <c r="K22" i="104" s="1"/>
  <c r="I21" i="104"/>
  <c r="K21" i="104" s="1"/>
  <c r="K18" i="104"/>
  <c r="K150" i="104" s="1"/>
  <c r="K152" i="97" l="1"/>
  <c r="F155" i="97"/>
  <c r="F154" i="97"/>
  <c r="K53" i="104"/>
  <c r="K64" i="104" s="1"/>
  <c r="K143" i="104" s="1"/>
  <c r="I64" i="104"/>
  <c r="I143" i="104" s="1"/>
  <c r="K36" i="104"/>
  <c r="K141" i="104" s="1"/>
  <c r="H152" i="104"/>
  <c r="J152" i="104"/>
  <c r="G152" i="104"/>
  <c r="I36" i="104"/>
  <c r="I141" i="104" s="1"/>
  <c r="I49" i="104"/>
  <c r="I142" i="104" s="1"/>
  <c r="K86" i="104"/>
  <c r="K98" i="104" s="1"/>
  <c r="K146" i="104" s="1"/>
  <c r="K102" i="104"/>
  <c r="K108" i="104" s="1"/>
  <c r="K147" i="104" s="1"/>
  <c r="I152" i="104" l="1"/>
  <c r="K152" i="104"/>
  <c r="F155" i="104" l="1"/>
  <c r="F154" i="104"/>
  <c r="K150" i="93" l="1"/>
  <c r="J150" i="93"/>
  <c r="I150" i="93"/>
  <c r="H150" i="93"/>
  <c r="K148" i="93"/>
  <c r="H146" i="93"/>
  <c r="G146" i="93"/>
  <c r="I143" i="93"/>
  <c r="I142" i="93"/>
  <c r="H142" i="93"/>
  <c r="F142" i="93"/>
  <c r="J141" i="93"/>
  <c r="F141" i="93"/>
  <c r="J137" i="93"/>
  <c r="J149" i="93" s="1"/>
  <c r="I137" i="93"/>
  <c r="I149" i="93" s="1"/>
  <c r="H137" i="93"/>
  <c r="H149" i="93" s="1"/>
  <c r="G137" i="93"/>
  <c r="G149" i="93" s="1"/>
  <c r="F137" i="93"/>
  <c r="F149" i="93" s="1"/>
  <c r="K135" i="93"/>
  <c r="K134" i="93"/>
  <c r="K133" i="93"/>
  <c r="K132" i="93"/>
  <c r="K137" i="93" s="1"/>
  <c r="K149" i="93" s="1"/>
  <c r="K131" i="93"/>
  <c r="F119" i="93"/>
  <c r="J108" i="93"/>
  <c r="J147" i="93" s="1"/>
  <c r="H108" i="93"/>
  <c r="H147" i="93" s="1"/>
  <c r="G108" i="93"/>
  <c r="G147" i="93" s="1"/>
  <c r="F108" i="93"/>
  <c r="F147" i="93" s="1"/>
  <c r="I106" i="93"/>
  <c r="K106" i="93" s="1"/>
  <c r="I105" i="93"/>
  <c r="K105" i="93" s="1"/>
  <c r="I104" i="93"/>
  <c r="K104" i="93" s="1"/>
  <c r="I103" i="93"/>
  <c r="K103" i="93" s="1"/>
  <c r="I102" i="93"/>
  <c r="I108" i="93" s="1"/>
  <c r="I147" i="93" s="1"/>
  <c r="J98" i="93"/>
  <c r="J146" i="93" s="1"/>
  <c r="H98" i="93"/>
  <c r="F98" i="93"/>
  <c r="F146" i="93" s="1"/>
  <c r="K96" i="93"/>
  <c r="I96" i="93"/>
  <c r="I95" i="93"/>
  <c r="K95" i="93" s="1"/>
  <c r="K94" i="93"/>
  <c r="I94" i="93"/>
  <c r="I93" i="93"/>
  <c r="K93" i="93" s="1"/>
  <c r="K92" i="93"/>
  <c r="I92" i="93"/>
  <c r="I91" i="93"/>
  <c r="K91" i="93" s="1"/>
  <c r="K90" i="93"/>
  <c r="I90" i="93"/>
  <c r="I89" i="93"/>
  <c r="K89" i="93" s="1"/>
  <c r="K88" i="93"/>
  <c r="I88" i="93"/>
  <c r="I87" i="93"/>
  <c r="K87" i="93" s="1"/>
  <c r="K86" i="93"/>
  <c r="I86" i="93"/>
  <c r="I98" i="93" s="1"/>
  <c r="I146" i="93" s="1"/>
  <c r="J82" i="93"/>
  <c r="J145" i="93" s="1"/>
  <c r="I82" i="93"/>
  <c r="I145" i="93" s="1"/>
  <c r="H82" i="93"/>
  <c r="H145" i="93" s="1"/>
  <c r="G82" i="93"/>
  <c r="G145" i="93" s="1"/>
  <c r="F82" i="93"/>
  <c r="F145" i="93" s="1"/>
  <c r="K80" i="93"/>
  <c r="K79" i="93"/>
  <c r="K78" i="93"/>
  <c r="K77" i="93"/>
  <c r="K82" i="93" s="1"/>
  <c r="K145" i="93" s="1"/>
  <c r="J74" i="93"/>
  <c r="J144" i="93" s="1"/>
  <c r="I74" i="93"/>
  <c r="I144" i="93" s="1"/>
  <c r="H74" i="93"/>
  <c r="H144" i="93" s="1"/>
  <c r="G74" i="93"/>
  <c r="G144" i="93" s="1"/>
  <c r="F74" i="93"/>
  <c r="F144" i="93" s="1"/>
  <c r="K72" i="93"/>
  <c r="K71" i="93"/>
  <c r="K70" i="93"/>
  <c r="K74" i="93" s="1"/>
  <c r="K144" i="93" s="1"/>
  <c r="K69" i="93"/>
  <c r="K68" i="93"/>
  <c r="J64" i="93"/>
  <c r="J143" i="93" s="1"/>
  <c r="I64" i="93"/>
  <c r="H64" i="93"/>
  <c r="H143" i="93" s="1"/>
  <c r="G64" i="93"/>
  <c r="G143" i="93" s="1"/>
  <c r="F64" i="93"/>
  <c r="F143" i="93" s="1"/>
  <c r="K62" i="93"/>
  <c r="K61" i="93"/>
  <c r="K60" i="93"/>
  <c r="K59" i="93"/>
  <c r="K58" i="93"/>
  <c r="K57" i="93"/>
  <c r="K56" i="93"/>
  <c r="K55" i="93"/>
  <c r="K64" i="93" s="1"/>
  <c r="K143" i="93" s="1"/>
  <c r="K54" i="93"/>
  <c r="K53" i="93"/>
  <c r="J49" i="93"/>
  <c r="J142" i="93" s="1"/>
  <c r="I49" i="93"/>
  <c r="H49" i="93"/>
  <c r="G49" i="93"/>
  <c r="G142" i="93" s="1"/>
  <c r="K47" i="93"/>
  <c r="K46" i="93"/>
  <c r="K45" i="93"/>
  <c r="K44" i="93"/>
  <c r="K43" i="93"/>
  <c r="K42" i="93"/>
  <c r="K41" i="93"/>
  <c r="K40" i="93"/>
  <c r="K49" i="93" s="1"/>
  <c r="K142" i="93" s="1"/>
  <c r="J36" i="93"/>
  <c r="H36" i="93"/>
  <c r="H141" i="93" s="1"/>
  <c r="G36" i="93"/>
  <c r="F36" i="93"/>
  <c r="I34" i="93"/>
  <c r="K34" i="93" s="1"/>
  <c r="K33" i="93"/>
  <c r="I33" i="93"/>
  <c r="I32" i="93"/>
  <c r="K32" i="93" s="1"/>
  <c r="K31" i="93"/>
  <c r="I31" i="93"/>
  <c r="K30" i="93"/>
  <c r="I29" i="93"/>
  <c r="K29" i="93" s="1"/>
  <c r="I28" i="93"/>
  <c r="K28" i="93" s="1"/>
  <c r="I27" i="93"/>
  <c r="K27" i="93" s="1"/>
  <c r="I26" i="93"/>
  <c r="K26" i="93" s="1"/>
  <c r="I25" i="93"/>
  <c r="K25" i="93" s="1"/>
  <c r="I24" i="93"/>
  <c r="K24" i="93" s="1"/>
  <c r="I23" i="93"/>
  <c r="K23" i="93" s="1"/>
  <c r="I22" i="93"/>
  <c r="K22" i="93" s="1"/>
  <c r="I21" i="93"/>
  <c r="K21" i="93" s="1"/>
  <c r="K18" i="93"/>
  <c r="H152" i="93" l="1"/>
  <c r="F152" i="93"/>
  <c r="K98" i="93"/>
  <c r="K146" i="93" s="1"/>
  <c r="J152" i="93"/>
  <c r="K36" i="93"/>
  <c r="K141" i="93" s="1"/>
  <c r="K152" i="93" s="1"/>
  <c r="G152" i="93"/>
  <c r="I36" i="93"/>
  <c r="I141" i="93" s="1"/>
  <c r="I152" i="93" s="1"/>
  <c r="K102" i="93"/>
  <c r="K108" i="93" s="1"/>
  <c r="K147" i="93" s="1"/>
  <c r="F155" i="93" l="1"/>
  <c r="F154" i="93"/>
  <c r="K150" i="79" l="1"/>
  <c r="J150" i="79"/>
  <c r="I150" i="79"/>
  <c r="H150" i="79"/>
  <c r="K149" i="79"/>
  <c r="J149" i="79"/>
  <c r="I149" i="79"/>
  <c r="H149" i="79"/>
  <c r="G149" i="79"/>
  <c r="F149" i="79"/>
  <c r="K148" i="79"/>
  <c r="G147" i="79"/>
  <c r="I146" i="79"/>
  <c r="G146" i="79"/>
  <c r="I143" i="79"/>
  <c r="G143" i="79"/>
  <c r="I142" i="79"/>
  <c r="G142" i="79"/>
  <c r="I141" i="79"/>
  <c r="G141" i="79"/>
  <c r="J108" i="79"/>
  <c r="J147" i="79" s="1"/>
  <c r="I108" i="79"/>
  <c r="I147" i="79" s="1"/>
  <c r="H108" i="79"/>
  <c r="H147" i="79" s="1"/>
  <c r="G108" i="79"/>
  <c r="F108" i="79"/>
  <c r="F147" i="79" s="1"/>
  <c r="K106" i="79"/>
  <c r="K105" i="79"/>
  <c r="K104" i="79"/>
  <c r="K103" i="79"/>
  <c r="K102" i="79"/>
  <c r="K108" i="79" s="1"/>
  <c r="K147" i="79" s="1"/>
  <c r="J98" i="79"/>
  <c r="J146" i="79" s="1"/>
  <c r="I98" i="79"/>
  <c r="H98" i="79"/>
  <c r="H146" i="79" s="1"/>
  <c r="G98" i="79"/>
  <c r="F98" i="79"/>
  <c r="F146" i="79" s="1"/>
  <c r="K96" i="79"/>
  <c r="K95" i="79"/>
  <c r="K94" i="79"/>
  <c r="K93" i="79"/>
  <c r="K92" i="79"/>
  <c r="K91" i="79"/>
  <c r="K90" i="79"/>
  <c r="K89" i="79"/>
  <c r="K88" i="79"/>
  <c r="K87" i="79"/>
  <c r="K86" i="79"/>
  <c r="K98" i="79" s="1"/>
  <c r="K146" i="79" s="1"/>
  <c r="J82" i="79"/>
  <c r="J145" i="79" s="1"/>
  <c r="I82" i="79"/>
  <c r="I145" i="79" s="1"/>
  <c r="H82" i="79"/>
  <c r="H145" i="79" s="1"/>
  <c r="G82" i="79"/>
  <c r="G145" i="79" s="1"/>
  <c r="F82" i="79"/>
  <c r="F145" i="79" s="1"/>
  <c r="K80" i="79"/>
  <c r="K79" i="79"/>
  <c r="K78" i="79"/>
  <c r="K82" i="79" s="1"/>
  <c r="K145" i="79" s="1"/>
  <c r="K77" i="79"/>
  <c r="J74" i="79"/>
  <c r="J144" i="79" s="1"/>
  <c r="I74" i="79"/>
  <c r="I144" i="79" s="1"/>
  <c r="H74" i="79"/>
  <c r="H144" i="79" s="1"/>
  <c r="G74" i="79"/>
  <c r="G144" i="79" s="1"/>
  <c r="F74" i="79"/>
  <c r="F144" i="79" s="1"/>
  <c r="K72" i="79"/>
  <c r="K71" i="79"/>
  <c r="K70" i="79"/>
  <c r="K74" i="79" s="1"/>
  <c r="K144" i="79" s="1"/>
  <c r="K69" i="79"/>
  <c r="K68" i="79"/>
  <c r="J64" i="79"/>
  <c r="J143" i="79" s="1"/>
  <c r="I64" i="79"/>
  <c r="H64" i="79"/>
  <c r="H143" i="79" s="1"/>
  <c r="G64" i="79"/>
  <c r="F64" i="79"/>
  <c r="F143" i="79" s="1"/>
  <c r="K62" i="79"/>
  <c r="K61" i="79"/>
  <c r="K60" i="79"/>
  <c r="K59" i="79"/>
  <c r="K58" i="79"/>
  <c r="K57" i="79"/>
  <c r="K56" i="79"/>
  <c r="K55" i="79"/>
  <c r="K54" i="79"/>
  <c r="K53" i="79"/>
  <c r="K64" i="79" s="1"/>
  <c r="K143" i="79" s="1"/>
  <c r="J49" i="79"/>
  <c r="J142" i="79" s="1"/>
  <c r="I49" i="79"/>
  <c r="H49" i="79"/>
  <c r="H142" i="79" s="1"/>
  <c r="G49" i="79"/>
  <c r="F49" i="79"/>
  <c r="F142" i="79" s="1"/>
  <c r="K47" i="79"/>
  <c r="K46" i="79"/>
  <c r="K45" i="79"/>
  <c r="K44" i="79"/>
  <c r="K43" i="79"/>
  <c r="K42" i="79"/>
  <c r="K41" i="79"/>
  <c r="K40" i="79"/>
  <c r="K49" i="79" s="1"/>
  <c r="K142" i="79" s="1"/>
  <c r="J36" i="79"/>
  <c r="J141" i="79" s="1"/>
  <c r="J152" i="79" s="1"/>
  <c r="I36" i="79"/>
  <c r="H36" i="79"/>
  <c r="H141" i="79" s="1"/>
  <c r="G36" i="79"/>
  <c r="F36" i="79"/>
  <c r="F141" i="79" s="1"/>
  <c r="F152" i="79" s="1"/>
  <c r="K34" i="79"/>
  <c r="K33" i="79"/>
  <c r="K32" i="79"/>
  <c r="K31" i="79"/>
  <c r="K30" i="79"/>
  <c r="K29" i="79"/>
  <c r="K28" i="79"/>
  <c r="K27" i="79"/>
  <c r="K26" i="79"/>
  <c r="K25" i="79"/>
  <c r="K24" i="79"/>
  <c r="K23" i="79"/>
  <c r="K22" i="79"/>
  <c r="K21" i="79"/>
  <c r="K36" i="79" s="1"/>
  <c r="K141" i="79" s="1"/>
  <c r="K152" i="79" l="1"/>
  <c r="H152" i="79"/>
  <c r="G152" i="79"/>
  <c r="I152" i="79"/>
  <c r="F155" i="79" l="1"/>
  <c r="F154" i="79"/>
  <c r="K150" i="76" l="1"/>
  <c r="J150" i="76"/>
  <c r="I150" i="76"/>
  <c r="H150" i="76"/>
  <c r="J149" i="76"/>
  <c r="F149" i="76"/>
  <c r="K148" i="76"/>
  <c r="J147" i="76"/>
  <c r="F147" i="76"/>
  <c r="G146" i="76"/>
  <c r="I145" i="76"/>
  <c r="G144" i="76"/>
  <c r="J143" i="76"/>
  <c r="F143" i="76"/>
  <c r="J137" i="76"/>
  <c r="I137" i="76"/>
  <c r="I149" i="76" s="1"/>
  <c r="H137" i="76"/>
  <c r="H149" i="76" s="1"/>
  <c r="G137" i="76"/>
  <c r="G149" i="76" s="1"/>
  <c r="F137" i="76"/>
  <c r="K135" i="76"/>
  <c r="K134" i="76"/>
  <c r="K133" i="76"/>
  <c r="K137" i="76" s="1"/>
  <c r="K149" i="76" s="1"/>
  <c r="K132" i="76"/>
  <c r="K131" i="76"/>
  <c r="F119" i="76"/>
  <c r="J108" i="76"/>
  <c r="H108" i="76"/>
  <c r="H147" i="76" s="1"/>
  <c r="G108" i="76"/>
  <c r="G147" i="76" s="1"/>
  <c r="F108" i="76"/>
  <c r="I106" i="76"/>
  <c r="I108" i="76" s="1"/>
  <c r="I147" i="76" s="1"/>
  <c r="K105" i="76"/>
  <c r="I105" i="76"/>
  <c r="K104" i="76"/>
  <c r="K103" i="76"/>
  <c r="K102" i="76"/>
  <c r="J98" i="76"/>
  <c r="J146" i="76" s="1"/>
  <c r="H98" i="76"/>
  <c r="H146" i="76" s="1"/>
  <c r="G98" i="76"/>
  <c r="F98" i="76"/>
  <c r="F146" i="76" s="1"/>
  <c r="I96" i="76"/>
  <c r="K96" i="76" s="1"/>
  <c r="I95" i="76"/>
  <c r="K95" i="76" s="1"/>
  <c r="I94" i="76"/>
  <c r="K94" i="76" s="1"/>
  <c r="K93" i="76"/>
  <c r="I92" i="76"/>
  <c r="K92" i="76" s="1"/>
  <c r="K91" i="76"/>
  <c r="I91" i="76"/>
  <c r="I90" i="76"/>
  <c r="K90" i="76" s="1"/>
  <c r="K89" i="76"/>
  <c r="I89" i="76"/>
  <c r="I88" i="76"/>
  <c r="I98" i="76" s="1"/>
  <c r="I146" i="76" s="1"/>
  <c r="K87" i="76"/>
  <c r="I86" i="76"/>
  <c r="K86" i="76" s="1"/>
  <c r="J82" i="76"/>
  <c r="J145" i="76" s="1"/>
  <c r="I82" i="76"/>
  <c r="H82" i="76"/>
  <c r="H145" i="76" s="1"/>
  <c r="G82" i="76"/>
  <c r="G145" i="76" s="1"/>
  <c r="F82" i="76"/>
  <c r="F145" i="76" s="1"/>
  <c r="K80" i="76"/>
  <c r="K79" i="76"/>
  <c r="K78" i="76"/>
  <c r="K77" i="76"/>
  <c r="K82" i="76" s="1"/>
  <c r="K145" i="76" s="1"/>
  <c r="J74" i="76"/>
  <c r="J144" i="76" s="1"/>
  <c r="I74" i="76"/>
  <c r="I144" i="76" s="1"/>
  <c r="H74" i="76"/>
  <c r="H144" i="76" s="1"/>
  <c r="G74" i="76"/>
  <c r="F74" i="76"/>
  <c r="F144" i="76" s="1"/>
  <c r="K72" i="76"/>
  <c r="K71" i="76"/>
  <c r="K70" i="76"/>
  <c r="K69" i="76"/>
  <c r="K68" i="76"/>
  <c r="K74" i="76" s="1"/>
  <c r="K144" i="76" s="1"/>
  <c r="J64" i="76"/>
  <c r="I64" i="76"/>
  <c r="I143" i="76" s="1"/>
  <c r="H64" i="76"/>
  <c r="H143" i="76" s="1"/>
  <c r="G64" i="76"/>
  <c r="G143" i="76" s="1"/>
  <c r="F64" i="76"/>
  <c r="K62" i="76"/>
  <c r="K61" i="76"/>
  <c r="K60" i="76"/>
  <c r="K59" i="76"/>
  <c r="K58" i="76"/>
  <c r="K57" i="76"/>
  <c r="K56" i="76"/>
  <c r="K64" i="76" s="1"/>
  <c r="K143" i="76" s="1"/>
  <c r="K55" i="76"/>
  <c r="K54" i="76"/>
  <c r="K53" i="76"/>
  <c r="J49" i="76"/>
  <c r="J142" i="76" s="1"/>
  <c r="I49" i="76"/>
  <c r="I142" i="76" s="1"/>
  <c r="H49" i="76"/>
  <c r="H142" i="76" s="1"/>
  <c r="G49" i="76"/>
  <c r="G142" i="76" s="1"/>
  <c r="F49" i="76"/>
  <c r="F142" i="76" s="1"/>
  <c r="K47" i="76"/>
  <c r="K46" i="76"/>
  <c r="K45" i="76"/>
  <c r="K44" i="76"/>
  <c r="K43" i="76"/>
  <c r="K42" i="76"/>
  <c r="K41" i="76"/>
  <c r="K49" i="76" s="1"/>
  <c r="K142" i="76" s="1"/>
  <c r="K40" i="76"/>
  <c r="J36" i="76"/>
  <c r="J141" i="76" s="1"/>
  <c r="I36" i="76"/>
  <c r="I141" i="76" s="1"/>
  <c r="H36" i="76"/>
  <c r="H141" i="76" s="1"/>
  <c r="H152" i="76" s="1"/>
  <c r="G36" i="76"/>
  <c r="G141" i="76" s="1"/>
  <c r="F36" i="76"/>
  <c r="F141" i="76" s="1"/>
  <c r="K34" i="76"/>
  <c r="I34" i="76"/>
  <c r="I33" i="76"/>
  <c r="K33" i="76" s="1"/>
  <c r="K32" i="76"/>
  <c r="K31" i="76"/>
  <c r="K30" i="76"/>
  <c r="K29" i="76"/>
  <c r="K28" i="76"/>
  <c r="I28" i="76"/>
  <c r="I27" i="76"/>
  <c r="K27" i="76" s="1"/>
  <c r="K26" i="76"/>
  <c r="I26" i="76"/>
  <c r="I25" i="76"/>
  <c r="K25" i="76" s="1"/>
  <c r="K24" i="76"/>
  <c r="I23" i="76"/>
  <c r="K23" i="76" s="1"/>
  <c r="K22" i="76"/>
  <c r="K21" i="76"/>
  <c r="K36" i="76" l="1"/>
  <c r="K141" i="76" s="1"/>
  <c r="I152" i="76"/>
  <c r="F152" i="76"/>
  <c r="J152" i="76"/>
  <c r="G152" i="76"/>
  <c r="K108" i="76"/>
  <c r="K147" i="76" s="1"/>
  <c r="K88" i="76"/>
  <c r="K98" i="76" s="1"/>
  <c r="K146" i="76" s="1"/>
  <c r="K106" i="76"/>
  <c r="K152" i="76" l="1"/>
  <c r="F155" i="76" l="1"/>
  <c r="F154" i="76"/>
  <c r="K150" i="106" l="1"/>
  <c r="J150" i="106"/>
  <c r="I150" i="106"/>
  <c r="H150" i="106"/>
  <c r="J149" i="106"/>
  <c r="H149" i="106"/>
  <c r="F149" i="106"/>
  <c r="K148" i="106"/>
  <c r="J147" i="106"/>
  <c r="I147" i="106"/>
  <c r="F147" i="106"/>
  <c r="G146" i="106"/>
  <c r="I145" i="106"/>
  <c r="G145" i="106"/>
  <c r="I144" i="106"/>
  <c r="G144" i="106"/>
  <c r="H142" i="106"/>
  <c r="G142" i="106"/>
  <c r="J141" i="106"/>
  <c r="F141" i="106"/>
  <c r="J137" i="106"/>
  <c r="I137" i="106"/>
  <c r="I149" i="106" s="1"/>
  <c r="H137" i="106"/>
  <c r="G137" i="106"/>
  <c r="G149" i="106" s="1"/>
  <c r="F137" i="106"/>
  <c r="K135" i="106"/>
  <c r="K134" i="106"/>
  <c r="K133" i="106"/>
  <c r="K137" i="106" s="1"/>
  <c r="K149" i="106" s="1"/>
  <c r="K132" i="106"/>
  <c r="K131" i="106"/>
  <c r="F119" i="106"/>
  <c r="J108" i="106"/>
  <c r="I108" i="106"/>
  <c r="H108" i="106"/>
  <c r="H147" i="106" s="1"/>
  <c r="G108" i="106"/>
  <c r="G147" i="106" s="1"/>
  <c r="F108" i="106"/>
  <c r="K106" i="106"/>
  <c r="I106" i="106"/>
  <c r="K105" i="106"/>
  <c r="I105" i="106"/>
  <c r="K104" i="106"/>
  <c r="K103" i="106"/>
  <c r="K102" i="106"/>
  <c r="K108" i="106" s="1"/>
  <c r="K147" i="106" s="1"/>
  <c r="J98" i="106"/>
  <c r="J146" i="106" s="1"/>
  <c r="H98" i="106"/>
  <c r="H146" i="106" s="1"/>
  <c r="G98" i="106"/>
  <c r="F98" i="106"/>
  <c r="F146" i="106" s="1"/>
  <c r="I96" i="106"/>
  <c r="K96" i="106" s="1"/>
  <c r="I95" i="106"/>
  <c r="K95" i="106" s="1"/>
  <c r="I94" i="106"/>
  <c r="K94" i="106" s="1"/>
  <c r="I93" i="106"/>
  <c r="K93" i="106" s="1"/>
  <c r="I92" i="106"/>
  <c r="K92" i="106" s="1"/>
  <c r="I91" i="106"/>
  <c r="K91" i="106" s="1"/>
  <c r="I90" i="106"/>
  <c r="K90" i="106" s="1"/>
  <c r="I89" i="106"/>
  <c r="K89" i="106" s="1"/>
  <c r="I88" i="106"/>
  <c r="K88" i="106" s="1"/>
  <c r="I87" i="106"/>
  <c r="K87" i="106" s="1"/>
  <c r="I86" i="106"/>
  <c r="I98" i="106" s="1"/>
  <c r="I146" i="106" s="1"/>
  <c r="J82" i="106"/>
  <c r="J145" i="106" s="1"/>
  <c r="I82" i="106"/>
  <c r="H82" i="106"/>
  <c r="H145" i="106" s="1"/>
  <c r="G82" i="106"/>
  <c r="F82" i="106"/>
  <c r="F145" i="106" s="1"/>
  <c r="K80" i="106"/>
  <c r="K79" i="106"/>
  <c r="K78" i="106"/>
  <c r="K77" i="106"/>
  <c r="K82" i="106" s="1"/>
  <c r="K145" i="106" s="1"/>
  <c r="J74" i="106"/>
  <c r="J144" i="106" s="1"/>
  <c r="I74" i="106"/>
  <c r="H74" i="106"/>
  <c r="H144" i="106" s="1"/>
  <c r="G74" i="106"/>
  <c r="F74" i="106"/>
  <c r="F144" i="106" s="1"/>
  <c r="K72" i="106"/>
  <c r="K71" i="106"/>
  <c r="K70" i="106"/>
  <c r="K69" i="106"/>
  <c r="K74" i="106" s="1"/>
  <c r="K144" i="106" s="1"/>
  <c r="K68" i="106"/>
  <c r="J64" i="106"/>
  <c r="J143" i="106" s="1"/>
  <c r="I64" i="106"/>
  <c r="I143" i="106" s="1"/>
  <c r="H64" i="106"/>
  <c r="H143" i="106" s="1"/>
  <c r="G64" i="106"/>
  <c r="G143" i="106" s="1"/>
  <c r="F64" i="106"/>
  <c r="F143" i="106" s="1"/>
  <c r="K62" i="106"/>
  <c r="K61" i="106"/>
  <c r="K60" i="106"/>
  <c r="K59" i="106"/>
  <c r="K58" i="106"/>
  <c r="K57" i="106"/>
  <c r="K56" i="106"/>
  <c r="K55" i="106"/>
  <c r="K54" i="106"/>
  <c r="K64" i="106" s="1"/>
  <c r="K143" i="106" s="1"/>
  <c r="K53" i="106"/>
  <c r="J49" i="106"/>
  <c r="J142" i="106" s="1"/>
  <c r="I49" i="106"/>
  <c r="I142" i="106" s="1"/>
  <c r="H49" i="106"/>
  <c r="G49" i="106"/>
  <c r="F49" i="106"/>
  <c r="F142" i="106" s="1"/>
  <c r="K47" i="106"/>
  <c r="K46" i="106"/>
  <c r="K45" i="106"/>
  <c r="K44" i="106"/>
  <c r="K43" i="106"/>
  <c r="K42" i="106"/>
  <c r="K41" i="106"/>
  <c r="K49" i="106" s="1"/>
  <c r="K142" i="106" s="1"/>
  <c r="K40" i="106"/>
  <c r="J36" i="106"/>
  <c r="H36" i="106"/>
  <c r="H141" i="106" s="1"/>
  <c r="G36" i="106"/>
  <c r="G141" i="106" s="1"/>
  <c r="F36" i="106"/>
  <c r="K34" i="106"/>
  <c r="I34" i="106"/>
  <c r="K33" i="106"/>
  <c r="I33" i="106"/>
  <c r="K32" i="106"/>
  <c r="I32" i="106"/>
  <c r="K31" i="106"/>
  <c r="K30" i="106"/>
  <c r="K29" i="106"/>
  <c r="I28" i="106"/>
  <c r="K28" i="106" s="1"/>
  <c r="I27" i="106"/>
  <c r="K27" i="106" s="1"/>
  <c r="I26" i="106"/>
  <c r="K26" i="106" s="1"/>
  <c r="I25" i="106"/>
  <c r="K25" i="106" s="1"/>
  <c r="K24" i="106"/>
  <c r="K23" i="106"/>
  <c r="I23" i="106"/>
  <c r="K22" i="106"/>
  <c r="I22" i="106"/>
  <c r="I36" i="106" s="1"/>
  <c r="I141" i="106" s="1"/>
  <c r="K21" i="106"/>
  <c r="F152" i="106" l="1"/>
  <c r="J152" i="106"/>
  <c r="K36" i="106"/>
  <c r="K141" i="106" s="1"/>
  <c r="G152" i="106"/>
  <c r="I152" i="106"/>
  <c r="H152" i="106"/>
  <c r="K86" i="106"/>
  <c r="K98" i="106" s="1"/>
  <c r="K146" i="106" s="1"/>
  <c r="K152" i="106" l="1"/>
  <c r="F155" i="106" l="1"/>
  <c r="F154" i="106"/>
  <c r="J150" i="118" l="1"/>
  <c r="I150" i="118"/>
  <c r="H150" i="118"/>
  <c r="H149" i="118"/>
  <c r="K148" i="118"/>
  <c r="J146" i="118"/>
  <c r="F146" i="118"/>
  <c r="G143" i="118"/>
  <c r="J142" i="118"/>
  <c r="I142" i="118"/>
  <c r="F142" i="118"/>
  <c r="H141" i="118"/>
  <c r="G141" i="118"/>
  <c r="J137" i="118"/>
  <c r="J149" i="118" s="1"/>
  <c r="I137" i="118"/>
  <c r="I149" i="118" s="1"/>
  <c r="H137" i="118"/>
  <c r="G137" i="118"/>
  <c r="G149" i="118" s="1"/>
  <c r="F137" i="118"/>
  <c r="F149" i="118" s="1"/>
  <c r="K135" i="118"/>
  <c r="K134" i="118"/>
  <c r="K133" i="118"/>
  <c r="K132" i="118"/>
  <c r="K131" i="118"/>
  <c r="K137" i="118" s="1"/>
  <c r="K149" i="118" s="1"/>
  <c r="F119" i="118"/>
  <c r="F123" i="118" s="1"/>
  <c r="F127" i="118" s="1"/>
  <c r="J108" i="118"/>
  <c r="J147" i="118" s="1"/>
  <c r="H108" i="118"/>
  <c r="H147" i="118" s="1"/>
  <c r="G108" i="118"/>
  <c r="G147" i="118" s="1"/>
  <c r="F108" i="118"/>
  <c r="F147" i="118" s="1"/>
  <c r="I106" i="118"/>
  <c r="K106" i="118" s="1"/>
  <c r="K105" i="118"/>
  <c r="I105" i="118"/>
  <c r="I104" i="118"/>
  <c r="K104" i="118" s="1"/>
  <c r="K103" i="118"/>
  <c r="I103" i="118"/>
  <c r="I102" i="118"/>
  <c r="I108" i="118" s="1"/>
  <c r="I147" i="118" s="1"/>
  <c r="J98" i="118"/>
  <c r="H98" i="118"/>
  <c r="H146" i="118" s="1"/>
  <c r="G98" i="118"/>
  <c r="G146" i="118" s="1"/>
  <c r="F98" i="118"/>
  <c r="I96" i="118"/>
  <c r="K96" i="118" s="1"/>
  <c r="K95" i="118"/>
  <c r="I95" i="118"/>
  <c r="I94" i="118"/>
  <c r="K94" i="118" s="1"/>
  <c r="K93" i="118"/>
  <c r="I93" i="118"/>
  <c r="I92" i="118"/>
  <c r="K92" i="118" s="1"/>
  <c r="K91" i="118"/>
  <c r="I91" i="118"/>
  <c r="I90" i="118"/>
  <c r="K90" i="118" s="1"/>
  <c r="K89" i="118"/>
  <c r="I89" i="118"/>
  <c r="I88" i="118"/>
  <c r="K88" i="118" s="1"/>
  <c r="K87" i="118"/>
  <c r="I87" i="118"/>
  <c r="I86" i="118"/>
  <c r="I98" i="118" s="1"/>
  <c r="I146" i="118" s="1"/>
  <c r="J82" i="118"/>
  <c r="J145" i="118" s="1"/>
  <c r="I82" i="118"/>
  <c r="I145" i="118" s="1"/>
  <c r="H82" i="118"/>
  <c r="H145" i="118" s="1"/>
  <c r="G82" i="118"/>
  <c r="G145" i="118" s="1"/>
  <c r="F82" i="118"/>
  <c r="F145" i="118" s="1"/>
  <c r="K80" i="118"/>
  <c r="K79" i="118"/>
  <c r="K78" i="118"/>
  <c r="K82" i="118" s="1"/>
  <c r="K145" i="118" s="1"/>
  <c r="K77" i="118"/>
  <c r="J74" i="118"/>
  <c r="J144" i="118" s="1"/>
  <c r="I74" i="118"/>
  <c r="I144" i="118" s="1"/>
  <c r="H74" i="118"/>
  <c r="H144" i="118" s="1"/>
  <c r="G74" i="118"/>
  <c r="G144" i="118" s="1"/>
  <c r="F74" i="118"/>
  <c r="F144" i="118" s="1"/>
  <c r="K72" i="118"/>
  <c r="K71" i="118"/>
  <c r="K70" i="118"/>
  <c r="K69" i="118"/>
  <c r="K68" i="118"/>
  <c r="K74" i="118" s="1"/>
  <c r="K144" i="118" s="1"/>
  <c r="J64" i="118"/>
  <c r="J143" i="118" s="1"/>
  <c r="H64" i="118"/>
  <c r="H143" i="118" s="1"/>
  <c r="G64" i="118"/>
  <c r="F64" i="118"/>
  <c r="F143" i="118" s="1"/>
  <c r="I56" i="118"/>
  <c r="I55" i="118"/>
  <c r="I54" i="118"/>
  <c r="I53" i="118"/>
  <c r="I64" i="118" s="1"/>
  <c r="I143" i="118" s="1"/>
  <c r="J49" i="118"/>
  <c r="I49" i="118"/>
  <c r="H49" i="118"/>
  <c r="H142" i="118" s="1"/>
  <c r="G49" i="118"/>
  <c r="G142" i="118" s="1"/>
  <c r="F49" i="118"/>
  <c r="K47" i="118"/>
  <c r="K46" i="118"/>
  <c r="K45" i="118"/>
  <c r="K44" i="118"/>
  <c r="K43" i="118"/>
  <c r="K42" i="118"/>
  <c r="K41" i="118"/>
  <c r="K40" i="118"/>
  <c r="K49" i="118" s="1"/>
  <c r="K142" i="118" s="1"/>
  <c r="J36" i="118"/>
  <c r="J141" i="118" s="1"/>
  <c r="J152" i="118" s="1"/>
  <c r="H36" i="118"/>
  <c r="G36" i="118"/>
  <c r="F36" i="118"/>
  <c r="F141" i="118" s="1"/>
  <c r="I34" i="118"/>
  <c r="K34" i="118" s="1"/>
  <c r="I33" i="118"/>
  <c r="K33" i="118" s="1"/>
  <c r="I32" i="118"/>
  <c r="K32" i="118" s="1"/>
  <c r="I31" i="118"/>
  <c r="K31" i="118" s="1"/>
  <c r="I30" i="118"/>
  <c r="K30" i="118" s="1"/>
  <c r="I29" i="118"/>
  <c r="K29" i="118" s="1"/>
  <c r="I28" i="118"/>
  <c r="K28" i="118" s="1"/>
  <c r="I27" i="118"/>
  <c r="K27" i="118" s="1"/>
  <c r="I26" i="118"/>
  <c r="K26" i="118" s="1"/>
  <c r="I25" i="118"/>
  <c r="K25" i="118" s="1"/>
  <c r="I24" i="118"/>
  <c r="K24" i="118" s="1"/>
  <c r="I23" i="118"/>
  <c r="K23" i="118" s="1"/>
  <c r="I22" i="118"/>
  <c r="K22" i="118" s="1"/>
  <c r="I21" i="118"/>
  <c r="I36" i="118" s="1"/>
  <c r="I141" i="118" s="1"/>
  <c r="K18" i="118"/>
  <c r="K150" i="118" s="1"/>
  <c r="F152" i="118" l="1"/>
  <c r="G152" i="118"/>
  <c r="H152" i="118"/>
  <c r="I152" i="118"/>
  <c r="K21" i="118"/>
  <c r="K36" i="118" s="1"/>
  <c r="K141" i="118" s="1"/>
  <c r="K64" i="118"/>
  <c r="K143" i="118" s="1"/>
  <c r="K86" i="118"/>
  <c r="K98" i="118" s="1"/>
  <c r="K146" i="118" s="1"/>
  <c r="K102" i="118"/>
  <c r="K108" i="118" s="1"/>
  <c r="K147" i="118" s="1"/>
  <c r="K152" i="118" l="1"/>
  <c r="F155" i="118" l="1"/>
  <c r="F154" i="118"/>
  <c r="J150" i="84" l="1"/>
  <c r="I150" i="84"/>
  <c r="H150" i="84"/>
  <c r="J149" i="84"/>
  <c r="F149" i="84"/>
  <c r="K148" i="84"/>
  <c r="J147" i="84"/>
  <c r="F147" i="84"/>
  <c r="J145" i="84"/>
  <c r="I145" i="84"/>
  <c r="F145" i="84"/>
  <c r="H144" i="84"/>
  <c r="G144" i="84"/>
  <c r="J143" i="84"/>
  <c r="I143" i="84"/>
  <c r="G143" i="84"/>
  <c r="F143" i="84"/>
  <c r="G142" i="84"/>
  <c r="K137" i="84"/>
  <c r="K149" i="84" s="1"/>
  <c r="J137" i="84"/>
  <c r="I137" i="84"/>
  <c r="I149" i="84" s="1"/>
  <c r="H137" i="84"/>
  <c r="H149" i="84" s="1"/>
  <c r="G137" i="84"/>
  <c r="G149" i="84" s="1"/>
  <c r="F137" i="84"/>
  <c r="K135" i="84"/>
  <c r="K134" i="84"/>
  <c r="K133" i="84"/>
  <c r="K132" i="84"/>
  <c r="K131" i="84"/>
  <c r="F119" i="84"/>
  <c r="J108" i="84"/>
  <c r="H108" i="84"/>
  <c r="H147" i="84" s="1"/>
  <c r="G108" i="84"/>
  <c r="G147" i="84" s="1"/>
  <c r="F108" i="84"/>
  <c r="I106" i="84"/>
  <c r="K106" i="84" s="1"/>
  <c r="K105" i="84"/>
  <c r="I105" i="84"/>
  <c r="I104" i="84"/>
  <c r="K104" i="84" s="1"/>
  <c r="K103" i="84"/>
  <c r="I103" i="84"/>
  <c r="I102" i="84"/>
  <c r="I108" i="84" s="1"/>
  <c r="I147" i="84" s="1"/>
  <c r="J98" i="84"/>
  <c r="J146" i="84" s="1"/>
  <c r="H98" i="84"/>
  <c r="H146" i="84" s="1"/>
  <c r="G98" i="84"/>
  <c r="G146" i="84" s="1"/>
  <c r="F98" i="84"/>
  <c r="F146" i="84" s="1"/>
  <c r="I96" i="84"/>
  <c r="K96" i="84" s="1"/>
  <c r="K95" i="84"/>
  <c r="I95" i="84"/>
  <c r="I94" i="84"/>
  <c r="K94" i="84" s="1"/>
  <c r="K93" i="84"/>
  <c r="I93" i="84"/>
  <c r="I92" i="84"/>
  <c r="K92" i="84" s="1"/>
  <c r="K91" i="84"/>
  <c r="I91" i="84"/>
  <c r="I90" i="84"/>
  <c r="K90" i="84" s="1"/>
  <c r="K89" i="84"/>
  <c r="I89" i="84"/>
  <c r="I88" i="84"/>
  <c r="K88" i="84" s="1"/>
  <c r="K87" i="84"/>
  <c r="I87" i="84"/>
  <c r="I86" i="84"/>
  <c r="I98" i="84" s="1"/>
  <c r="I146" i="84" s="1"/>
  <c r="J82" i="84"/>
  <c r="I82" i="84"/>
  <c r="H82" i="84"/>
  <c r="H145" i="84" s="1"/>
  <c r="G82" i="84"/>
  <c r="G145" i="84" s="1"/>
  <c r="F82" i="84"/>
  <c r="K80" i="84"/>
  <c r="K79" i="84"/>
  <c r="K78" i="84"/>
  <c r="K82" i="84" s="1"/>
  <c r="K145" i="84" s="1"/>
  <c r="K77" i="84"/>
  <c r="J74" i="84"/>
  <c r="J144" i="84" s="1"/>
  <c r="I74" i="84"/>
  <c r="I144" i="84" s="1"/>
  <c r="H74" i="84"/>
  <c r="G74" i="84"/>
  <c r="F74" i="84"/>
  <c r="F144" i="84" s="1"/>
  <c r="K72" i="84"/>
  <c r="K71" i="84"/>
  <c r="K70" i="84"/>
  <c r="K69" i="84"/>
  <c r="K68" i="84"/>
  <c r="K74" i="84" s="1"/>
  <c r="K144" i="84" s="1"/>
  <c r="J64" i="84"/>
  <c r="I64" i="84"/>
  <c r="H64" i="84"/>
  <c r="H143" i="84" s="1"/>
  <c r="G64" i="84"/>
  <c r="F64" i="84"/>
  <c r="K62" i="84"/>
  <c r="K61" i="84"/>
  <c r="K60" i="84"/>
  <c r="K59" i="84"/>
  <c r="K58" i="84"/>
  <c r="K57" i="84"/>
  <c r="K56" i="84"/>
  <c r="K55" i="84"/>
  <c r="K54" i="84"/>
  <c r="K53" i="84"/>
  <c r="K64" i="84" s="1"/>
  <c r="K143" i="84" s="1"/>
  <c r="J49" i="84"/>
  <c r="J142" i="84" s="1"/>
  <c r="I49" i="84"/>
  <c r="I142" i="84" s="1"/>
  <c r="H49" i="84"/>
  <c r="H142" i="84" s="1"/>
  <c r="G49" i="84"/>
  <c r="F49" i="84"/>
  <c r="F142" i="84" s="1"/>
  <c r="K47" i="84"/>
  <c r="K46" i="84"/>
  <c r="K45" i="84"/>
  <c r="K44" i="84"/>
  <c r="K43" i="84"/>
  <c r="K42" i="84"/>
  <c r="K41" i="84"/>
  <c r="K40" i="84"/>
  <c r="K49" i="84" s="1"/>
  <c r="K142" i="84" s="1"/>
  <c r="J36" i="84"/>
  <c r="J141" i="84" s="1"/>
  <c r="J152" i="84" s="1"/>
  <c r="H36" i="84"/>
  <c r="H141" i="84" s="1"/>
  <c r="G36" i="84"/>
  <c r="G141" i="84" s="1"/>
  <c r="F36" i="84"/>
  <c r="F141" i="84" s="1"/>
  <c r="I34" i="84"/>
  <c r="K34" i="84" s="1"/>
  <c r="I33" i="84"/>
  <c r="K33" i="84" s="1"/>
  <c r="I32" i="84"/>
  <c r="K32" i="84" s="1"/>
  <c r="I31" i="84"/>
  <c r="K31" i="84" s="1"/>
  <c r="I30" i="84"/>
  <c r="K30" i="84" s="1"/>
  <c r="I29" i="84"/>
  <c r="K29" i="84" s="1"/>
  <c r="I28" i="84"/>
  <c r="K28" i="84" s="1"/>
  <c r="I27" i="84"/>
  <c r="K27" i="84" s="1"/>
  <c r="I26" i="84"/>
  <c r="K26" i="84" s="1"/>
  <c r="I25" i="84"/>
  <c r="K25" i="84" s="1"/>
  <c r="I24" i="84"/>
  <c r="K24" i="84" s="1"/>
  <c r="I23" i="84"/>
  <c r="K23" i="84" s="1"/>
  <c r="I22" i="84"/>
  <c r="K22" i="84" s="1"/>
  <c r="I21" i="84"/>
  <c r="I36" i="84" s="1"/>
  <c r="I141" i="84" s="1"/>
  <c r="K18" i="84"/>
  <c r="K150" i="84" s="1"/>
  <c r="F152" i="84" l="1"/>
  <c r="G152" i="84"/>
  <c r="I152" i="84"/>
  <c r="H152" i="84"/>
  <c r="K21" i="84"/>
  <c r="K36" i="84" s="1"/>
  <c r="K141" i="84" s="1"/>
  <c r="K86" i="84"/>
  <c r="K98" i="84" s="1"/>
  <c r="K146" i="84" s="1"/>
  <c r="K102" i="84"/>
  <c r="K108" i="84" s="1"/>
  <c r="K147" i="84" s="1"/>
  <c r="K152" i="84" l="1"/>
  <c r="F154" i="84" l="1"/>
  <c r="F155" i="84"/>
  <c r="J150" i="77" l="1"/>
  <c r="I150" i="77"/>
  <c r="H150" i="77"/>
  <c r="J149" i="77"/>
  <c r="F149" i="77"/>
  <c r="K148" i="77"/>
  <c r="H146" i="77"/>
  <c r="G146" i="77"/>
  <c r="J143" i="77"/>
  <c r="F143" i="77"/>
  <c r="J137" i="77"/>
  <c r="I137" i="77"/>
  <c r="I149" i="77" s="1"/>
  <c r="H137" i="77"/>
  <c r="H149" i="77" s="1"/>
  <c r="G137" i="77"/>
  <c r="G149" i="77" s="1"/>
  <c r="F137" i="77"/>
  <c r="K135" i="77"/>
  <c r="K134" i="77"/>
  <c r="K133" i="77"/>
  <c r="K137" i="77" s="1"/>
  <c r="K149" i="77" s="1"/>
  <c r="K132" i="77"/>
  <c r="K131" i="77"/>
  <c r="F123" i="77"/>
  <c r="F127" i="77" s="1"/>
  <c r="F119" i="77"/>
  <c r="J108" i="77"/>
  <c r="J147" i="77" s="1"/>
  <c r="I108" i="77"/>
  <c r="I147" i="77" s="1"/>
  <c r="H108" i="77"/>
  <c r="H147" i="77" s="1"/>
  <c r="G108" i="77"/>
  <c r="G147" i="77" s="1"/>
  <c r="F108" i="77"/>
  <c r="F147" i="77" s="1"/>
  <c r="K106" i="77"/>
  <c r="I106" i="77"/>
  <c r="I105" i="77"/>
  <c r="K105" i="77" s="1"/>
  <c r="K104" i="77"/>
  <c r="I104" i="77"/>
  <c r="I103" i="77"/>
  <c r="K103" i="77" s="1"/>
  <c r="K102" i="77"/>
  <c r="K108" i="77" s="1"/>
  <c r="K147" i="77" s="1"/>
  <c r="I102" i="77"/>
  <c r="J98" i="77"/>
  <c r="J146" i="77" s="1"/>
  <c r="I98" i="77"/>
  <c r="I146" i="77" s="1"/>
  <c r="H98" i="77"/>
  <c r="G98" i="77"/>
  <c r="F98" i="77"/>
  <c r="F146" i="77" s="1"/>
  <c r="K96" i="77"/>
  <c r="I96" i="77"/>
  <c r="I95" i="77"/>
  <c r="K95" i="77" s="1"/>
  <c r="K94" i="77"/>
  <c r="I94" i="77"/>
  <c r="I93" i="77"/>
  <c r="K93" i="77" s="1"/>
  <c r="K92" i="77"/>
  <c r="I92" i="77"/>
  <c r="I91" i="77"/>
  <c r="K91" i="77" s="1"/>
  <c r="K90" i="77"/>
  <c r="I90" i="77"/>
  <c r="I89" i="77"/>
  <c r="K89" i="77" s="1"/>
  <c r="K88" i="77"/>
  <c r="I88" i="77"/>
  <c r="I87" i="77"/>
  <c r="K87" i="77" s="1"/>
  <c r="K86" i="77"/>
  <c r="I86" i="77"/>
  <c r="J82" i="77"/>
  <c r="J145" i="77" s="1"/>
  <c r="I82" i="77"/>
  <c r="I145" i="77" s="1"/>
  <c r="H82" i="77"/>
  <c r="H145" i="77" s="1"/>
  <c r="G82" i="77"/>
  <c r="G145" i="77" s="1"/>
  <c r="F82" i="77"/>
  <c r="F145" i="77" s="1"/>
  <c r="K80" i="77"/>
  <c r="K79" i="77"/>
  <c r="K78" i="77"/>
  <c r="K77" i="77"/>
  <c r="K82" i="77" s="1"/>
  <c r="K145" i="77" s="1"/>
  <c r="J74" i="77"/>
  <c r="J144" i="77" s="1"/>
  <c r="H74" i="77"/>
  <c r="H144" i="77" s="1"/>
  <c r="G74" i="77"/>
  <c r="G144" i="77" s="1"/>
  <c r="F74" i="77"/>
  <c r="F144" i="77" s="1"/>
  <c r="K72" i="77"/>
  <c r="K71" i="77"/>
  <c r="K70" i="77"/>
  <c r="K69" i="77"/>
  <c r="I68" i="77"/>
  <c r="I74" i="77" s="1"/>
  <c r="I144" i="77" s="1"/>
  <c r="J64" i="77"/>
  <c r="H64" i="77"/>
  <c r="H143" i="77" s="1"/>
  <c r="G64" i="77"/>
  <c r="G143" i="77" s="1"/>
  <c r="F64" i="77"/>
  <c r="K62" i="77"/>
  <c r="K61" i="77"/>
  <c r="K60" i="77"/>
  <c r="I60" i="77"/>
  <c r="I59" i="77"/>
  <c r="K59" i="77" s="1"/>
  <c r="K58" i="77"/>
  <c r="I58" i="77"/>
  <c r="I57" i="77"/>
  <c r="K57" i="77" s="1"/>
  <c r="K56" i="77"/>
  <c r="I56" i="77"/>
  <c r="I55" i="77"/>
  <c r="K55" i="77" s="1"/>
  <c r="K54" i="77"/>
  <c r="I54" i="77"/>
  <c r="I53" i="77"/>
  <c r="I64" i="77" s="1"/>
  <c r="I143" i="77" s="1"/>
  <c r="J49" i="77"/>
  <c r="J142" i="77" s="1"/>
  <c r="I49" i="77"/>
  <c r="I142" i="77" s="1"/>
  <c r="H49" i="77"/>
  <c r="H142" i="77" s="1"/>
  <c r="G49" i="77"/>
  <c r="G142" i="77" s="1"/>
  <c r="F49" i="77"/>
  <c r="F142" i="77" s="1"/>
  <c r="K47" i="77"/>
  <c r="K46" i="77"/>
  <c r="K45" i="77"/>
  <c r="K44" i="77"/>
  <c r="K43" i="77"/>
  <c r="K42" i="77"/>
  <c r="K41" i="77"/>
  <c r="K49" i="77" s="1"/>
  <c r="K142" i="77" s="1"/>
  <c r="K40" i="77"/>
  <c r="J36" i="77"/>
  <c r="J141" i="77" s="1"/>
  <c r="I36" i="77"/>
  <c r="I141" i="77" s="1"/>
  <c r="H36" i="77"/>
  <c r="H141" i="77" s="1"/>
  <c r="H152" i="77" s="1"/>
  <c r="G36" i="77"/>
  <c r="G141" i="77" s="1"/>
  <c r="G152" i="77" s="1"/>
  <c r="F36" i="77"/>
  <c r="F141" i="77" s="1"/>
  <c r="K34" i="77"/>
  <c r="I34" i="77"/>
  <c r="I33" i="77"/>
  <c r="K33" i="77" s="1"/>
  <c r="K32" i="77"/>
  <c r="I32" i="77"/>
  <c r="I31" i="77"/>
  <c r="K31" i="77" s="1"/>
  <c r="K30" i="77"/>
  <c r="I30" i="77"/>
  <c r="I29" i="77"/>
  <c r="K29" i="77" s="1"/>
  <c r="K28" i="77"/>
  <c r="I28" i="77"/>
  <c r="I27" i="77"/>
  <c r="K27" i="77" s="1"/>
  <c r="K26" i="77"/>
  <c r="I26" i="77"/>
  <c r="I25" i="77"/>
  <c r="K25" i="77" s="1"/>
  <c r="K24" i="77"/>
  <c r="I24" i="77"/>
  <c r="I23" i="77"/>
  <c r="K23" i="77" s="1"/>
  <c r="K22" i="77"/>
  <c r="I22" i="77"/>
  <c r="I21" i="77"/>
  <c r="K21" i="77" s="1"/>
  <c r="K18" i="77"/>
  <c r="K150" i="77" s="1"/>
  <c r="K36" i="77" l="1"/>
  <c r="K141" i="77" s="1"/>
  <c r="I152" i="77"/>
  <c r="K98" i="77"/>
  <c r="K146" i="77" s="1"/>
  <c r="F152" i="77"/>
  <c r="J152" i="77"/>
  <c r="K53" i="77"/>
  <c r="K64" i="77" s="1"/>
  <c r="K143" i="77" s="1"/>
  <c r="K68" i="77"/>
  <c r="K74" i="77" s="1"/>
  <c r="K144" i="77" s="1"/>
  <c r="K152" i="77" l="1"/>
  <c r="F155" i="77" l="1"/>
  <c r="F154" i="77"/>
  <c r="J150" i="101" l="1"/>
  <c r="I150" i="101"/>
  <c r="H150" i="101"/>
  <c r="J149" i="101"/>
  <c r="F149" i="101"/>
  <c r="K148" i="101"/>
  <c r="J147" i="101"/>
  <c r="F147" i="101"/>
  <c r="J145" i="101"/>
  <c r="F145" i="101"/>
  <c r="H144" i="101"/>
  <c r="G143" i="101"/>
  <c r="H142" i="101"/>
  <c r="J141" i="101"/>
  <c r="F141" i="101"/>
  <c r="F152" i="101" s="1"/>
  <c r="J137" i="101"/>
  <c r="I137" i="101"/>
  <c r="I149" i="101" s="1"/>
  <c r="H137" i="101"/>
  <c r="H149" i="101" s="1"/>
  <c r="G137" i="101"/>
  <c r="G149" i="101" s="1"/>
  <c r="F137" i="101"/>
  <c r="K135" i="101"/>
  <c r="K134" i="101"/>
  <c r="K133" i="101"/>
  <c r="K137" i="101" s="1"/>
  <c r="K149" i="101" s="1"/>
  <c r="K132" i="101"/>
  <c r="K131" i="101"/>
  <c r="F119" i="101"/>
  <c r="J108" i="101"/>
  <c r="G108" i="101"/>
  <c r="G147" i="101" s="1"/>
  <c r="F108" i="101"/>
  <c r="I106" i="101"/>
  <c r="K106" i="101" s="1"/>
  <c r="K105" i="101"/>
  <c r="I105" i="101"/>
  <c r="I104" i="101"/>
  <c r="I108" i="101" s="1"/>
  <c r="I147" i="101" s="1"/>
  <c r="K103" i="101"/>
  <c r="I103" i="101"/>
  <c r="H102" i="101"/>
  <c r="H108" i="101" s="1"/>
  <c r="H147" i="101" s="1"/>
  <c r="J98" i="101"/>
  <c r="J146" i="101" s="1"/>
  <c r="H98" i="101"/>
  <c r="H146" i="101" s="1"/>
  <c r="G98" i="101"/>
  <c r="G146" i="101" s="1"/>
  <c r="F98" i="101"/>
  <c r="F146" i="101" s="1"/>
  <c r="I96" i="101"/>
  <c r="K96" i="101" s="1"/>
  <c r="K95" i="101"/>
  <c r="I95" i="101"/>
  <c r="I94" i="101"/>
  <c r="K94" i="101" s="1"/>
  <c r="K93" i="101"/>
  <c r="I93" i="101"/>
  <c r="I92" i="101"/>
  <c r="K92" i="101" s="1"/>
  <c r="K91" i="101"/>
  <c r="I91" i="101"/>
  <c r="I90" i="101"/>
  <c r="K90" i="101" s="1"/>
  <c r="K89" i="101"/>
  <c r="I89" i="101"/>
  <c r="I88" i="101"/>
  <c r="K88" i="101" s="1"/>
  <c r="K87" i="101"/>
  <c r="I87" i="101"/>
  <c r="I86" i="101"/>
  <c r="I98" i="101" s="1"/>
  <c r="I146" i="101" s="1"/>
  <c r="J82" i="101"/>
  <c r="I82" i="101"/>
  <c r="I145" i="101" s="1"/>
  <c r="H82" i="101"/>
  <c r="H145" i="101" s="1"/>
  <c r="G82" i="101"/>
  <c r="G145" i="101" s="1"/>
  <c r="F82" i="101"/>
  <c r="K80" i="101"/>
  <c r="K79" i="101"/>
  <c r="K78" i="101"/>
  <c r="K82" i="101" s="1"/>
  <c r="K145" i="101" s="1"/>
  <c r="K77" i="101"/>
  <c r="J74" i="101"/>
  <c r="J144" i="101" s="1"/>
  <c r="I74" i="101"/>
  <c r="I144" i="101" s="1"/>
  <c r="H74" i="101"/>
  <c r="G74" i="101"/>
  <c r="G144" i="101" s="1"/>
  <c r="F74" i="101"/>
  <c r="F144" i="101" s="1"/>
  <c r="K72" i="101"/>
  <c r="K71" i="101"/>
  <c r="K70" i="101"/>
  <c r="K69" i="101"/>
  <c r="K68" i="101"/>
  <c r="K74" i="101" s="1"/>
  <c r="K144" i="101" s="1"/>
  <c r="J64" i="101"/>
  <c r="J143" i="101" s="1"/>
  <c r="I64" i="101"/>
  <c r="I143" i="101" s="1"/>
  <c r="H64" i="101"/>
  <c r="H143" i="101" s="1"/>
  <c r="G64" i="101"/>
  <c r="F64" i="101"/>
  <c r="F143" i="101" s="1"/>
  <c r="K64" i="101"/>
  <c r="K143" i="101" s="1"/>
  <c r="H53" i="101"/>
  <c r="J49" i="101"/>
  <c r="J142" i="101" s="1"/>
  <c r="I49" i="101"/>
  <c r="I142" i="101" s="1"/>
  <c r="H49" i="101"/>
  <c r="G49" i="101"/>
  <c r="G142" i="101" s="1"/>
  <c r="F49" i="101"/>
  <c r="F142" i="101" s="1"/>
  <c r="K47" i="101"/>
  <c r="K46" i="101"/>
  <c r="K45" i="101"/>
  <c r="K44" i="101"/>
  <c r="K43" i="101"/>
  <c r="K42" i="101"/>
  <c r="K41" i="101"/>
  <c r="K40" i="101"/>
  <c r="K49" i="101" s="1"/>
  <c r="K142" i="101" s="1"/>
  <c r="J36" i="101"/>
  <c r="H36" i="101"/>
  <c r="H141" i="101" s="1"/>
  <c r="G36" i="101"/>
  <c r="G141" i="101" s="1"/>
  <c r="G152" i="101" s="1"/>
  <c r="F36" i="101"/>
  <c r="I34" i="101"/>
  <c r="K34" i="101" s="1"/>
  <c r="K33" i="101"/>
  <c r="I33" i="101"/>
  <c r="I32" i="101"/>
  <c r="K32" i="101" s="1"/>
  <c r="K31" i="101"/>
  <c r="I31" i="101"/>
  <c r="K30" i="101"/>
  <c r="I29" i="101"/>
  <c r="K29" i="101" s="1"/>
  <c r="I28" i="101"/>
  <c r="K28" i="101" s="1"/>
  <c r="I27" i="101"/>
  <c r="K27" i="101" s="1"/>
  <c r="I26" i="101"/>
  <c r="K26" i="101" s="1"/>
  <c r="I25" i="101"/>
  <c r="K25" i="101" s="1"/>
  <c r="I24" i="101"/>
  <c r="K24" i="101" s="1"/>
  <c r="I23" i="101"/>
  <c r="K23" i="101" s="1"/>
  <c r="I22" i="101"/>
  <c r="K22" i="101" s="1"/>
  <c r="I21" i="101"/>
  <c r="I36" i="101" s="1"/>
  <c r="I141" i="101" s="1"/>
  <c r="K18" i="101"/>
  <c r="K150" i="101" s="1"/>
  <c r="H152" i="101" l="1"/>
  <c r="J152" i="101"/>
  <c r="I152" i="101"/>
  <c r="K21" i="101"/>
  <c r="K36" i="101" s="1"/>
  <c r="K141" i="101" s="1"/>
  <c r="K86" i="101"/>
  <c r="K98" i="101" s="1"/>
  <c r="K146" i="101" s="1"/>
  <c r="K102" i="101"/>
  <c r="K108" i="101" s="1"/>
  <c r="K147" i="101" s="1"/>
  <c r="K104" i="101"/>
  <c r="K152" i="101" l="1"/>
  <c r="F155" i="101" l="1"/>
  <c r="F154" i="101"/>
  <c r="J150" i="99" l="1"/>
  <c r="I150" i="99"/>
  <c r="H150" i="99"/>
  <c r="K148" i="99"/>
  <c r="G147" i="99"/>
  <c r="J146" i="99"/>
  <c r="F146" i="99"/>
  <c r="G145" i="99"/>
  <c r="I144" i="99"/>
  <c r="J143" i="99"/>
  <c r="G143" i="99"/>
  <c r="F143" i="99"/>
  <c r="I142" i="99"/>
  <c r="H142" i="99"/>
  <c r="J141" i="99"/>
  <c r="G141" i="99"/>
  <c r="F141" i="99"/>
  <c r="J137" i="99"/>
  <c r="J149" i="99" s="1"/>
  <c r="I137" i="99"/>
  <c r="I149" i="99" s="1"/>
  <c r="H137" i="99"/>
  <c r="H149" i="99" s="1"/>
  <c r="G137" i="99"/>
  <c r="G149" i="99" s="1"/>
  <c r="F137" i="99"/>
  <c r="F149" i="99" s="1"/>
  <c r="K135" i="99"/>
  <c r="K134" i="99"/>
  <c r="K133" i="99"/>
  <c r="K132" i="99"/>
  <c r="K131" i="99"/>
  <c r="K137" i="99" s="1"/>
  <c r="K149" i="99" s="1"/>
  <c r="F119" i="99"/>
  <c r="J108" i="99"/>
  <c r="J147" i="99" s="1"/>
  <c r="H108" i="99"/>
  <c r="H147" i="99" s="1"/>
  <c r="G108" i="99"/>
  <c r="F108" i="99"/>
  <c r="F147" i="99" s="1"/>
  <c r="I106" i="99"/>
  <c r="K106" i="99" s="1"/>
  <c r="I105" i="99"/>
  <c r="K105" i="99" s="1"/>
  <c r="I104" i="99"/>
  <c r="K104" i="99" s="1"/>
  <c r="I103" i="99"/>
  <c r="K103" i="99" s="1"/>
  <c r="I102" i="99"/>
  <c r="I108" i="99" s="1"/>
  <c r="I147" i="99" s="1"/>
  <c r="J98" i="99"/>
  <c r="H98" i="99"/>
  <c r="H146" i="99" s="1"/>
  <c r="G98" i="99"/>
  <c r="G146" i="99" s="1"/>
  <c r="F98" i="99"/>
  <c r="I96" i="99"/>
  <c r="K96" i="99" s="1"/>
  <c r="I95" i="99"/>
  <c r="K95" i="99" s="1"/>
  <c r="I94" i="99"/>
  <c r="K94" i="99" s="1"/>
  <c r="I93" i="99"/>
  <c r="K93" i="99" s="1"/>
  <c r="I92" i="99"/>
  <c r="K92" i="99" s="1"/>
  <c r="I91" i="99"/>
  <c r="K91" i="99" s="1"/>
  <c r="I90" i="99"/>
  <c r="K90" i="99" s="1"/>
  <c r="I89" i="99"/>
  <c r="K89" i="99" s="1"/>
  <c r="I88" i="99"/>
  <c r="K88" i="99" s="1"/>
  <c r="I87" i="99"/>
  <c r="K87" i="99" s="1"/>
  <c r="I86" i="99"/>
  <c r="I98" i="99" s="1"/>
  <c r="I146" i="99" s="1"/>
  <c r="J82" i="99"/>
  <c r="J145" i="99" s="1"/>
  <c r="I82" i="99"/>
  <c r="I145" i="99" s="1"/>
  <c r="H82" i="99"/>
  <c r="H145" i="99" s="1"/>
  <c r="G82" i="99"/>
  <c r="F82" i="99"/>
  <c r="F145" i="99" s="1"/>
  <c r="K80" i="99"/>
  <c r="K79" i="99"/>
  <c r="K78" i="99"/>
  <c r="K77" i="99"/>
  <c r="K82" i="99" s="1"/>
  <c r="K145" i="99" s="1"/>
  <c r="J74" i="99"/>
  <c r="J144" i="99" s="1"/>
  <c r="I74" i="99"/>
  <c r="H74" i="99"/>
  <c r="H144" i="99" s="1"/>
  <c r="G74" i="99"/>
  <c r="G144" i="99" s="1"/>
  <c r="F74" i="99"/>
  <c r="F144" i="99" s="1"/>
  <c r="K72" i="99"/>
  <c r="K71" i="99"/>
  <c r="K70" i="99"/>
  <c r="K69" i="99"/>
  <c r="K74" i="99" s="1"/>
  <c r="K144" i="99" s="1"/>
  <c r="K68" i="99"/>
  <c r="J64" i="99"/>
  <c r="I64" i="99"/>
  <c r="I143" i="99" s="1"/>
  <c r="H64" i="99"/>
  <c r="H143" i="99" s="1"/>
  <c r="G64" i="99"/>
  <c r="F64" i="99"/>
  <c r="J49" i="99"/>
  <c r="J142" i="99" s="1"/>
  <c r="I49" i="99"/>
  <c r="H49" i="99"/>
  <c r="G49" i="99"/>
  <c r="G142" i="99" s="1"/>
  <c r="F49" i="99"/>
  <c r="F142" i="99" s="1"/>
  <c r="K47" i="99"/>
  <c r="K46" i="99"/>
  <c r="K45" i="99"/>
  <c r="K44" i="99"/>
  <c r="K43" i="99"/>
  <c r="K42" i="99"/>
  <c r="K41" i="99"/>
  <c r="K49" i="99" s="1"/>
  <c r="K142" i="99" s="1"/>
  <c r="K40" i="99"/>
  <c r="J36" i="99"/>
  <c r="I36" i="99"/>
  <c r="I141" i="99" s="1"/>
  <c r="H36" i="99"/>
  <c r="H141" i="99" s="1"/>
  <c r="H152" i="99" s="1"/>
  <c r="G36" i="99"/>
  <c r="F36" i="99"/>
  <c r="K34" i="99"/>
  <c r="I34" i="99"/>
  <c r="I33" i="99"/>
  <c r="K33" i="99" s="1"/>
  <c r="K32" i="99"/>
  <c r="I32" i="99"/>
  <c r="I31" i="99"/>
  <c r="K31" i="99" s="1"/>
  <c r="K30" i="99"/>
  <c r="I30" i="99"/>
  <c r="I29" i="99"/>
  <c r="K29" i="99" s="1"/>
  <c r="K28" i="99"/>
  <c r="I28" i="99"/>
  <c r="I27" i="99"/>
  <c r="K27" i="99" s="1"/>
  <c r="K26" i="99"/>
  <c r="I26" i="99"/>
  <c r="I25" i="99"/>
  <c r="K25" i="99" s="1"/>
  <c r="K24" i="99"/>
  <c r="I24" i="99"/>
  <c r="I23" i="99"/>
  <c r="K23" i="99" s="1"/>
  <c r="K22" i="99"/>
  <c r="I22" i="99"/>
  <c r="I21" i="99"/>
  <c r="K21" i="99" s="1"/>
  <c r="K18" i="99"/>
  <c r="K150" i="99" s="1"/>
  <c r="K36" i="99" l="1"/>
  <c r="K141" i="99" s="1"/>
  <c r="I152" i="99"/>
  <c r="G152" i="99"/>
  <c r="J152" i="99"/>
  <c r="F152" i="99"/>
  <c r="K102" i="99"/>
  <c r="K108" i="99" s="1"/>
  <c r="K147" i="99" s="1"/>
  <c r="K86" i="99"/>
  <c r="K98" i="99" s="1"/>
  <c r="K146" i="99" s="1"/>
  <c r="K152" i="99" l="1"/>
  <c r="F155" i="99" l="1"/>
  <c r="F154" i="99"/>
  <c r="K150" i="96" l="1"/>
  <c r="J150" i="96"/>
  <c r="I150" i="96"/>
  <c r="H150" i="96"/>
  <c r="H149" i="96"/>
  <c r="K148" i="96"/>
  <c r="H147" i="96"/>
  <c r="G147" i="96"/>
  <c r="H145" i="96"/>
  <c r="G145" i="96"/>
  <c r="I144" i="96"/>
  <c r="H143" i="96"/>
  <c r="G143" i="96"/>
  <c r="J142" i="96"/>
  <c r="I142" i="96"/>
  <c r="G142" i="96"/>
  <c r="F142" i="96"/>
  <c r="G141" i="96"/>
  <c r="J137" i="96"/>
  <c r="J149" i="96" s="1"/>
  <c r="I137" i="96"/>
  <c r="I149" i="96" s="1"/>
  <c r="H137" i="96"/>
  <c r="G137" i="96"/>
  <c r="G149" i="96" s="1"/>
  <c r="F137" i="96"/>
  <c r="F149" i="96" s="1"/>
  <c r="K135" i="96"/>
  <c r="K134" i="96"/>
  <c r="K133" i="96"/>
  <c r="K132" i="96"/>
  <c r="K131" i="96"/>
  <c r="K137" i="96" s="1"/>
  <c r="K149" i="96" s="1"/>
  <c r="F119" i="96"/>
  <c r="J108" i="96"/>
  <c r="J147" i="96" s="1"/>
  <c r="I108" i="96"/>
  <c r="I147" i="96" s="1"/>
  <c r="H108" i="96"/>
  <c r="G108" i="96"/>
  <c r="F108" i="96"/>
  <c r="F147" i="96" s="1"/>
  <c r="K106" i="96"/>
  <c r="I106" i="96"/>
  <c r="I105" i="96"/>
  <c r="K105" i="96" s="1"/>
  <c r="K104" i="96"/>
  <c r="K108" i="96" s="1"/>
  <c r="K147" i="96" s="1"/>
  <c r="I104" i="96"/>
  <c r="J98" i="96"/>
  <c r="J146" i="96" s="1"/>
  <c r="I98" i="96"/>
  <c r="I146" i="96" s="1"/>
  <c r="H98" i="96"/>
  <c r="H146" i="96" s="1"/>
  <c r="G98" i="96"/>
  <c r="G146" i="96" s="1"/>
  <c r="F98" i="96"/>
  <c r="F146" i="96" s="1"/>
  <c r="K96" i="96"/>
  <c r="I96" i="96"/>
  <c r="I95" i="96"/>
  <c r="K95" i="96" s="1"/>
  <c r="K94" i="96"/>
  <c r="I94" i="96"/>
  <c r="I93" i="96"/>
  <c r="K93" i="96" s="1"/>
  <c r="K89" i="96"/>
  <c r="I89" i="96"/>
  <c r="I87" i="96"/>
  <c r="K87" i="96" s="1"/>
  <c r="K86" i="96"/>
  <c r="K98" i="96" s="1"/>
  <c r="K146" i="96" s="1"/>
  <c r="I86" i="96"/>
  <c r="J82" i="96"/>
  <c r="J145" i="96" s="1"/>
  <c r="I82" i="96"/>
  <c r="I145" i="96" s="1"/>
  <c r="H82" i="96"/>
  <c r="G82" i="96"/>
  <c r="F82" i="96"/>
  <c r="F145" i="96" s="1"/>
  <c r="K80" i="96"/>
  <c r="K78" i="96"/>
  <c r="K77" i="96"/>
  <c r="K82" i="96" s="1"/>
  <c r="K145" i="96" s="1"/>
  <c r="J74" i="96"/>
  <c r="J144" i="96" s="1"/>
  <c r="I74" i="96"/>
  <c r="H74" i="96"/>
  <c r="H144" i="96" s="1"/>
  <c r="G74" i="96"/>
  <c r="G144" i="96" s="1"/>
  <c r="F74" i="96"/>
  <c r="F144" i="96" s="1"/>
  <c r="K72" i="96"/>
  <c r="K71" i="96"/>
  <c r="K70" i="96"/>
  <c r="K69" i="96"/>
  <c r="K74" i="96" s="1"/>
  <c r="K144" i="96" s="1"/>
  <c r="K68" i="96"/>
  <c r="J64" i="96"/>
  <c r="J143" i="96" s="1"/>
  <c r="I64" i="96"/>
  <c r="I143" i="96" s="1"/>
  <c r="H64" i="96"/>
  <c r="G64" i="96"/>
  <c r="F64" i="96"/>
  <c r="F143" i="96" s="1"/>
  <c r="K64" i="96"/>
  <c r="K143" i="96" s="1"/>
  <c r="J49" i="96"/>
  <c r="I49" i="96"/>
  <c r="H49" i="96"/>
  <c r="H142" i="96" s="1"/>
  <c r="G49" i="96"/>
  <c r="F49" i="96"/>
  <c r="K47" i="96"/>
  <c r="K46" i="96"/>
  <c r="K45" i="96"/>
  <c r="K43" i="96"/>
  <c r="K41" i="96"/>
  <c r="K40" i="96"/>
  <c r="K49" i="96" s="1"/>
  <c r="K142" i="96" s="1"/>
  <c r="J36" i="96"/>
  <c r="J141" i="96" s="1"/>
  <c r="H36" i="96"/>
  <c r="H141" i="96" s="1"/>
  <c r="G36" i="96"/>
  <c r="F36" i="96"/>
  <c r="F141" i="96" s="1"/>
  <c r="F152" i="96" s="1"/>
  <c r="I34" i="96"/>
  <c r="K34" i="96" s="1"/>
  <c r="I33" i="96"/>
  <c r="K33" i="96" s="1"/>
  <c r="I32" i="96"/>
  <c r="K32" i="96" s="1"/>
  <c r="I31" i="96"/>
  <c r="K31" i="96" s="1"/>
  <c r="I30" i="96"/>
  <c r="K30" i="96" s="1"/>
  <c r="I27" i="96"/>
  <c r="K27" i="96" s="1"/>
  <c r="I26" i="96"/>
  <c r="I36" i="96" s="1"/>
  <c r="I141" i="96" s="1"/>
  <c r="I152" i="96" s="1"/>
  <c r="G152" i="96" l="1"/>
  <c r="H152" i="96"/>
  <c r="J152" i="96"/>
  <c r="K26" i="96"/>
  <c r="K36" i="96" s="1"/>
  <c r="K141" i="96" s="1"/>
  <c r="K152" i="96" s="1"/>
  <c r="F155" i="96" l="1"/>
  <c r="F154" i="96"/>
  <c r="K150" i="82" l="1"/>
  <c r="J150" i="82"/>
  <c r="I150" i="82"/>
  <c r="H150" i="82"/>
  <c r="J149" i="82"/>
  <c r="F149" i="82"/>
  <c r="K148" i="82"/>
  <c r="J147" i="82"/>
  <c r="G147" i="82"/>
  <c r="F147" i="82"/>
  <c r="G146" i="82"/>
  <c r="J145" i="82"/>
  <c r="G145" i="82"/>
  <c r="F145" i="82"/>
  <c r="H144" i="82"/>
  <c r="G142" i="82"/>
  <c r="J137" i="82"/>
  <c r="H137" i="82"/>
  <c r="H149" i="82" s="1"/>
  <c r="G137" i="82"/>
  <c r="G149" i="82" s="1"/>
  <c r="F137" i="82"/>
  <c r="I135" i="82"/>
  <c r="K135" i="82" s="1"/>
  <c r="K134" i="82"/>
  <c r="I134" i="82"/>
  <c r="I133" i="82"/>
  <c r="K133" i="82" s="1"/>
  <c r="K132" i="82"/>
  <c r="I132" i="82"/>
  <c r="I131" i="82"/>
  <c r="I137" i="82" s="1"/>
  <c r="I149" i="82" s="1"/>
  <c r="F119" i="82"/>
  <c r="J108" i="82"/>
  <c r="H108" i="82"/>
  <c r="H147" i="82" s="1"/>
  <c r="G108" i="82"/>
  <c r="F108" i="82"/>
  <c r="I106" i="82"/>
  <c r="K106" i="82" s="1"/>
  <c r="I105" i="82"/>
  <c r="K105" i="82" s="1"/>
  <c r="I104" i="82"/>
  <c r="K104" i="82" s="1"/>
  <c r="I103" i="82"/>
  <c r="K103" i="82" s="1"/>
  <c r="I102" i="82"/>
  <c r="J98" i="82"/>
  <c r="J146" i="82" s="1"/>
  <c r="H98" i="82"/>
  <c r="H146" i="82" s="1"/>
  <c r="G98" i="82"/>
  <c r="F98" i="82"/>
  <c r="F146" i="82" s="1"/>
  <c r="I96" i="82"/>
  <c r="K96" i="82" s="1"/>
  <c r="I95" i="82"/>
  <c r="K95" i="82" s="1"/>
  <c r="I94" i="82"/>
  <c r="K94" i="82" s="1"/>
  <c r="I93" i="82"/>
  <c r="K93" i="82" s="1"/>
  <c r="I92" i="82"/>
  <c r="K92" i="82" s="1"/>
  <c r="I91" i="82"/>
  <c r="K91" i="82" s="1"/>
  <c r="I90" i="82"/>
  <c r="K90" i="82" s="1"/>
  <c r="I89" i="82"/>
  <c r="K89" i="82" s="1"/>
  <c r="I88" i="82"/>
  <c r="K88" i="82" s="1"/>
  <c r="I87" i="82"/>
  <c r="K87" i="82" s="1"/>
  <c r="I86" i="82"/>
  <c r="J82" i="82"/>
  <c r="H82" i="82"/>
  <c r="H145" i="82" s="1"/>
  <c r="G82" i="82"/>
  <c r="F82" i="82"/>
  <c r="I80" i="82"/>
  <c r="K80" i="82" s="1"/>
  <c r="I79" i="82"/>
  <c r="K79" i="82" s="1"/>
  <c r="K78" i="82"/>
  <c r="I78" i="82"/>
  <c r="I82" i="82" s="1"/>
  <c r="I145" i="82" s="1"/>
  <c r="I77" i="82"/>
  <c r="K77" i="82" s="1"/>
  <c r="J74" i="82"/>
  <c r="J144" i="82" s="1"/>
  <c r="H74" i="82"/>
  <c r="G74" i="82"/>
  <c r="G144" i="82" s="1"/>
  <c r="F74" i="82"/>
  <c r="F144" i="82" s="1"/>
  <c r="I72" i="82"/>
  <c r="K72" i="82" s="1"/>
  <c r="I71" i="82"/>
  <c r="K71" i="82" s="1"/>
  <c r="I70" i="82"/>
  <c r="K70" i="82" s="1"/>
  <c r="K69" i="82"/>
  <c r="I69" i="82"/>
  <c r="I68" i="82"/>
  <c r="I74" i="82" s="1"/>
  <c r="I144" i="82" s="1"/>
  <c r="J64" i="82"/>
  <c r="J143" i="82" s="1"/>
  <c r="H64" i="82"/>
  <c r="H143" i="82" s="1"/>
  <c r="G64" i="82"/>
  <c r="G143" i="82" s="1"/>
  <c r="F64" i="82"/>
  <c r="F143" i="82" s="1"/>
  <c r="I62" i="82"/>
  <c r="K62" i="82" s="1"/>
  <c r="I61" i="82"/>
  <c r="K61" i="82" s="1"/>
  <c r="I60" i="82"/>
  <c r="K60" i="82" s="1"/>
  <c r="K59" i="82"/>
  <c r="I59" i="82"/>
  <c r="I58" i="82"/>
  <c r="K58" i="82" s="1"/>
  <c r="I57" i="82"/>
  <c r="K57" i="82" s="1"/>
  <c r="I56" i="82"/>
  <c r="K56" i="82" s="1"/>
  <c r="I55" i="82"/>
  <c r="K55" i="82" s="1"/>
  <c r="I54" i="82"/>
  <c r="K54" i="82" s="1"/>
  <c r="I53" i="82"/>
  <c r="J49" i="82"/>
  <c r="J142" i="82" s="1"/>
  <c r="H49" i="82"/>
  <c r="H142" i="82" s="1"/>
  <c r="G49" i="82"/>
  <c r="F49" i="82"/>
  <c r="F142" i="82" s="1"/>
  <c r="K47" i="82"/>
  <c r="I47" i="82"/>
  <c r="I46" i="82"/>
  <c r="K46" i="82" s="1"/>
  <c r="I45" i="82"/>
  <c r="K45" i="82" s="1"/>
  <c r="I44" i="82"/>
  <c r="K44" i="82" s="1"/>
  <c r="I43" i="82"/>
  <c r="K43" i="82" s="1"/>
  <c r="I42" i="82"/>
  <c r="K42" i="82" s="1"/>
  <c r="I41" i="82"/>
  <c r="K41" i="82" s="1"/>
  <c r="I40" i="82"/>
  <c r="K40" i="82" s="1"/>
  <c r="J36" i="82"/>
  <c r="J141" i="82" s="1"/>
  <c r="H36" i="82"/>
  <c r="H141" i="82" s="1"/>
  <c r="H152" i="82" s="1"/>
  <c r="G36" i="82"/>
  <c r="G141" i="82" s="1"/>
  <c r="F36" i="82"/>
  <c r="F141" i="82" s="1"/>
  <c r="F152" i="82" s="1"/>
  <c r="I34" i="82"/>
  <c r="K34" i="82" s="1"/>
  <c r="I33" i="82"/>
  <c r="K33" i="82" s="1"/>
  <c r="I32" i="82"/>
  <c r="K32" i="82" s="1"/>
  <c r="I31" i="82"/>
  <c r="K31" i="82" s="1"/>
  <c r="I30" i="82"/>
  <c r="K30" i="82" s="1"/>
  <c r="K29" i="82"/>
  <c r="I29" i="82"/>
  <c r="I28" i="82"/>
  <c r="K28" i="82" s="1"/>
  <c r="I27" i="82"/>
  <c r="K27" i="82" s="1"/>
  <c r="I26" i="82"/>
  <c r="K26" i="82" s="1"/>
  <c r="I25" i="82"/>
  <c r="K25" i="82" s="1"/>
  <c r="I24" i="82"/>
  <c r="K24" i="82" s="1"/>
  <c r="I23" i="82"/>
  <c r="K23" i="82" s="1"/>
  <c r="I22" i="82"/>
  <c r="K22" i="82" s="1"/>
  <c r="K21" i="82"/>
  <c r="K36" i="82" s="1"/>
  <c r="K141" i="82" s="1"/>
  <c r="I21" i="82"/>
  <c r="K18" i="82"/>
  <c r="I49" i="82" l="1"/>
  <c r="I142" i="82" s="1"/>
  <c r="I108" i="82"/>
  <c r="I147" i="82" s="1"/>
  <c r="K102" i="82"/>
  <c r="K108" i="82" s="1"/>
  <c r="K147" i="82" s="1"/>
  <c r="G152" i="82"/>
  <c r="K49" i="82"/>
  <c r="K142" i="82" s="1"/>
  <c r="I98" i="82"/>
  <c r="I146" i="82" s="1"/>
  <c r="K86" i="82"/>
  <c r="K98" i="82" s="1"/>
  <c r="K146" i="82" s="1"/>
  <c r="I64" i="82"/>
  <c r="I143" i="82" s="1"/>
  <c r="K82" i="82"/>
  <c r="K145" i="82" s="1"/>
  <c r="I36" i="82"/>
  <c r="I141" i="82" s="1"/>
  <c r="J152" i="82"/>
  <c r="K53" i="82"/>
  <c r="K64" i="82" s="1"/>
  <c r="K143" i="82" s="1"/>
  <c r="K152" i="82" s="1"/>
  <c r="K131" i="82"/>
  <c r="K137" i="82" s="1"/>
  <c r="K149" i="82" s="1"/>
  <c r="K68" i="82"/>
  <c r="K74" i="82" s="1"/>
  <c r="K144" i="82" s="1"/>
  <c r="F154" i="82" l="1"/>
  <c r="F155" i="82"/>
  <c r="I152" i="82"/>
  <c r="K150" i="102" l="1"/>
  <c r="J150" i="102"/>
  <c r="I150" i="102"/>
  <c r="H150" i="102"/>
  <c r="H149" i="102"/>
  <c r="K148" i="102"/>
  <c r="J146" i="102"/>
  <c r="F146" i="102"/>
  <c r="G143" i="102"/>
  <c r="J142" i="102"/>
  <c r="I142" i="102"/>
  <c r="G142" i="102"/>
  <c r="F142" i="102"/>
  <c r="H141" i="102"/>
  <c r="G141" i="102"/>
  <c r="J137" i="102"/>
  <c r="J149" i="102" s="1"/>
  <c r="I137" i="102"/>
  <c r="I149" i="102" s="1"/>
  <c r="H137" i="102"/>
  <c r="G137" i="102"/>
  <c r="G149" i="102" s="1"/>
  <c r="F137" i="102"/>
  <c r="F149" i="102" s="1"/>
  <c r="K135" i="102"/>
  <c r="K134" i="102"/>
  <c r="K133" i="102"/>
  <c r="K132" i="102"/>
  <c r="K131" i="102"/>
  <c r="K137" i="102" s="1"/>
  <c r="K149" i="102" s="1"/>
  <c r="F119" i="102"/>
  <c r="F123" i="102" s="1"/>
  <c r="F127" i="102" s="1"/>
  <c r="J108" i="102"/>
  <c r="J147" i="102" s="1"/>
  <c r="H108" i="102"/>
  <c r="H147" i="102" s="1"/>
  <c r="G108" i="102"/>
  <c r="G147" i="102" s="1"/>
  <c r="F108" i="102"/>
  <c r="F147" i="102" s="1"/>
  <c r="I106" i="102"/>
  <c r="K106" i="102" s="1"/>
  <c r="K105" i="102"/>
  <c r="I105" i="102"/>
  <c r="I104" i="102"/>
  <c r="K104" i="102" s="1"/>
  <c r="K103" i="102"/>
  <c r="I103" i="102"/>
  <c r="I102" i="102"/>
  <c r="I108" i="102" s="1"/>
  <c r="I147" i="102" s="1"/>
  <c r="J98" i="102"/>
  <c r="H98" i="102"/>
  <c r="H146" i="102" s="1"/>
  <c r="G98" i="102"/>
  <c r="G146" i="102" s="1"/>
  <c r="F98" i="102"/>
  <c r="I96" i="102"/>
  <c r="K96" i="102" s="1"/>
  <c r="K95" i="102"/>
  <c r="I95" i="102"/>
  <c r="I94" i="102"/>
  <c r="K94" i="102" s="1"/>
  <c r="K93" i="102"/>
  <c r="I93" i="102"/>
  <c r="I92" i="102"/>
  <c r="K92" i="102" s="1"/>
  <c r="K91" i="102"/>
  <c r="I91" i="102"/>
  <c r="I90" i="102"/>
  <c r="K90" i="102" s="1"/>
  <c r="K89" i="102"/>
  <c r="I89" i="102"/>
  <c r="I88" i="102"/>
  <c r="K88" i="102" s="1"/>
  <c r="K87" i="102"/>
  <c r="I87" i="102"/>
  <c r="I86" i="102"/>
  <c r="I98" i="102" s="1"/>
  <c r="I146" i="102" s="1"/>
  <c r="J82" i="102"/>
  <c r="J145" i="102" s="1"/>
  <c r="I82" i="102"/>
  <c r="I145" i="102" s="1"/>
  <c r="H82" i="102"/>
  <c r="H145" i="102" s="1"/>
  <c r="G82" i="102"/>
  <c r="G145" i="102" s="1"/>
  <c r="F82" i="102"/>
  <c r="F145" i="102" s="1"/>
  <c r="K80" i="102"/>
  <c r="K79" i="102"/>
  <c r="K78" i="102"/>
  <c r="K82" i="102" s="1"/>
  <c r="K145" i="102" s="1"/>
  <c r="K77" i="102"/>
  <c r="J74" i="102"/>
  <c r="J144" i="102" s="1"/>
  <c r="I74" i="102"/>
  <c r="I144" i="102" s="1"/>
  <c r="H74" i="102"/>
  <c r="H144" i="102" s="1"/>
  <c r="G74" i="102"/>
  <c r="G144" i="102" s="1"/>
  <c r="F74" i="102"/>
  <c r="F144" i="102" s="1"/>
  <c r="K72" i="102"/>
  <c r="K71" i="102"/>
  <c r="K70" i="102"/>
  <c r="K69" i="102"/>
  <c r="K68" i="102"/>
  <c r="K74" i="102" s="1"/>
  <c r="K144" i="102" s="1"/>
  <c r="J64" i="102"/>
  <c r="J143" i="102" s="1"/>
  <c r="I64" i="102"/>
  <c r="I143" i="102" s="1"/>
  <c r="H64" i="102"/>
  <c r="H143" i="102" s="1"/>
  <c r="G64" i="102"/>
  <c r="F64" i="102"/>
  <c r="F143" i="102" s="1"/>
  <c r="K62" i="102"/>
  <c r="K61" i="102"/>
  <c r="K60" i="102"/>
  <c r="K59" i="102"/>
  <c r="K58" i="102"/>
  <c r="K57" i="102"/>
  <c r="K56" i="102"/>
  <c r="K55" i="102"/>
  <c r="K54" i="102"/>
  <c r="K53" i="102"/>
  <c r="K64" i="102" s="1"/>
  <c r="K143" i="102" s="1"/>
  <c r="J49" i="102"/>
  <c r="I49" i="102"/>
  <c r="H49" i="102"/>
  <c r="H142" i="102" s="1"/>
  <c r="G49" i="102"/>
  <c r="F49" i="102"/>
  <c r="K47" i="102"/>
  <c r="K46" i="102"/>
  <c r="K45" i="102"/>
  <c r="K44" i="102"/>
  <c r="K42" i="102"/>
  <c r="K41" i="102"/>
  <c r="K40" i="102"/>
  <c r="K49" i="102" s="1"/>
  <c r="K142" i="102" s="1"/>
  <c r="J36" i="102"/>
  <c r="J141" i="102" s="1"/>
  <c r="I36" i="102"/>
  <c r="I141" i="102" s="1"/>
  <c r="H36" i="102"/>
  <c r="G36" i="102"/>
  <c r="F36" i="102"/>
  <c r="F141" i="102" s="1"/>
  <c r="K34" i="102"/>
  <c r="I34" i="102"/>
  <c r="I33" i="102"/>
  <c r="K33" i="102" s="1"/>
  <c r="K32" i="102"/>
  <c r="I32" i="102"/>
  <c r="I31" i="102"/>
  <c r="K31" i="102" s="1"/>
  <c r="K30" i="102"/>
  <c r="I30" i="102"/>
  <c r="I29" i="102"/>
  <c r="K29" i="102" s="1"/>
  <c r="K28" i="102"/>
  <c r="I28" i="102"/>
  <c r="I27" i="102"/>
  <c r="K27" i="102" s="1"/>
  <c r="K26" i="102"/>
  <c r="I26" i="102"/>
  <c r="I25" i="102"/>
  <c r="K25" i="102" s="1"/>
  <c r="K24" i="102"/>
  <c r="I24" i="102"/>
  <c r="I23" i="102"/>
  <c r="K23" i="102" s="1"/>
  <c r="K22" i="102"/>
  <c r="I22" i="102"/>
  <c r="I21" i="102"/>
  <c r="K21" i="102" s="1"/>
  <c r="F152" i="102" l="1"/>
  <c r="J152" i="102"/>
  <c r="G152" i="102"/>
  <c r="H152" i="102"/>
  <c r="K36" i="102"/>
  <c r="K141" i="102" s="1"/>
  <c r="I152" i="102"/>
  <c r="K86" i="102"/>
  <c r="K98" i="102" s="1"/>
  <c r="K146" i="102" s="1"/>
  <c r="K102" i="102"/>
  <c r="K108" i="102" s="1"/>
  <c r="K147" i="102" s="1"/>
  <c r="K152" i="102" l="1"/>
  <c r="F155" i="102" l="1"/>
  <c r="F154" i="102"/>
  <c r="K150" i="123" l="1"/>
  <c r="J150" i="123"/>
  <c r="I150" i="123"/>
  <c r="H150" i="123"/>
  <c r="J149" i="123"/>
  <c r="F149" i="123"/>
  <c r="K148" i="123"/>
  <c r="J147" i="123"/>
  <c r="F147" i="123"/>
  <c r="J145" i="123"/>
  <c r="I145" i="123"/>
  <c r="F145" i="123"/>
  <c r="H144" i="123"/>
  <c r="G144" i="123"/>
  <c r="J143" i="123"/>
  <c r="I143" i="123"/>
  <c r="G143" i="123"/>
  <c r="F143" i="123"/>
  <c r="G142" i="123"/>
  <c r="J137" i="123"/>
  <c r="I137" i="123"/>
  <c r="I149" i="123" s="1"/>
  <c r="H137" i="123"/>
  <c r="H149" i="123" s="1"/>
  <c r="G137" i="123"/>
  <c r="G149" i="123" s="1"/>
  <c r="F137" i="123"/>
  <c r="K135" i="123"/>
  <c r="K134" i="123"/>
  <c r="K133" i="123"/>
  <c r="K137" i="123" s="1"/>
  <c r="K149" i="123" s="1"/>
  <c r="K132" i="123"/>
  <c r="K131" i="123"/>
  <c r="F119" i="123"/>
  <c r="J108" i="123"/>
  <c r="H108" i="123"/>
  <c r="H147" i="123" s="1"/>
  <c r="G108" i="123"/>
  <c r="G147" i="123" s="1"/>
  <c r="F108" i="123"/>
  <c r="I106" i="123"/>
  <c r="K106" i="123" s="1"/>
  <c r="K105" i="123"/>
  <c r="I105" i="123"/>
  <c r="I104" i="123"/>
  <c r="K104" i="123" s="1"/>
  <c r="K103" i="123"/>
  <c r="I103" i="123"/>
  <c r="I102" i="123"/>
  <c r="I108" i="123" s="1"/>
  <c r="I147" i="123" s="1"/>
  <c r="J98" i="123"/>
  <c r="J146" i="123" s="1"/>
  <c r="H98" i="123"/>
  <c r="H146" i="123" s="1"/>
  <c r="G98" i="123"/>
  <c r="G146" i="123" s="1"/>
  <c r="F98" i="123"/>
  <c r="F146" i="123" s="1"/>
  <c r="I96" i="123"/>
  <c r="K96" i="123" s="1"/>
  <c r="K95" i="123"/>
  <c r="I95" i="123"/>
  <c r="I94" i="123"/>
  <c r="K94" i="123" s="1"/>
  <c r="K93" i="123"/>
  <c r="I93" i="123"/>
  <c r="I92" i="123"/>
  <c r="K92" i="123" s="1"/>
  <c r="K91" i="123"/>
  <c r="I91" i="123"/>
  <c r="I90" i="123"/>
  <c r="K90" i="123" s="1"/>
  <c r="K89" i="123"/>
  <c r="I89" i="123"/>
  <c r="I88" i="123"/>
  <c r="K88" i="123" s="1"/>
  <c r="K87" i="123"/>
  <c r="I87" i="123"/>
  <c r="I86" i="123"/>
  <c r="I98" i="123" s="1"/>
  <c r="I146" i="123" s="1"/>
  <c r="J82" i="123"/>
  <c r="I82" i="123"/>
  <c r="H82" i="123"/>
  <c r="H145" i="123" s="1"/>
  <c r="G82" i="123"/>
  <c r="G145" i="123" s="1"/>
  <c r="F82" i="123"/>
  <c r="K80" i="123"/>
  <c r="K79" i="123"/>
  <c r="K78" i="123"/>
  <c r="K82" i="123" s="1"/>
  <c r="K145" i="123" s="1"/>
  <c r="K77" i="123"/>
  <c r="J74" i="123"/>
  <c r="J144" i="123" s="1"/>
  <c r="I74" i="123"/>
  <c r="I144" i="123" s="1"/>
  <c r="H74" i="123"/>
  <c r="G74" i="123"/>
  <c r="F74" i="123"/>
  <c r="F144" i="123" s="1"/>
  <c r="K72" i="123"/>
  <c r="K71" i="123"/>
  <c r="K70" i="123"/>
  <c r="K69" i="123"/>
  <c r="K68" i="123"/>
  <c r="K74" i="123" s="1"/>
  <c r="K144" i="123" s="1"/>
  <c r="J64" i="123"/>
  <c r="I64" i="123"/>
  <c r="H64" i="123"/>
  <c r="H143" i="123" s="1"/>
  <c r="G64" i="123"/>
  <c r="F64" i="123"/>
  <c r="K62" i="123"/>
  <c r="K61" i="123"/>
  <c r="K60" i="123"/>
  <c r="K59" i="123"/>
  <c r="K58" i="123"/>
  <c r="K57" i="123"/>
  <c r="K56" i="123"/>
  <c r="K55" i="123"/>
  <c r="K54" i="123"/>
  <c r="K53" i="123"/>
  <c r="K64" i="123" s="1"/>
  <c r="K143" i="123" s="1"/>
  <c r="J49" i="123"/>
  <c r="J142" i="123" s="1"/>
  <c r="I49" i="123"/>
  <c r="I142" i="123" s="1"/>
  <c r="H49" i="123"/>
  <c r="H142" i="123" s="1"/>
  <c r="G49" i="123"/>
  <c r="F49" i="123"/>
  <c r="F142" i="123" s="1"/>
  <c r="K47" i="123"/>
  <c r="K46" i="123"/>
  <c r="K45" i="123"/>
  <c r="K44" i="123"/>
  <c r="K43" i="123"/>
  <c r="K42" i="123"/>
  <c r="K41" i="123"/>
  <c r="K40" i="123"/>
  <c r="K49" i="123" s="1"/>
  <c r="K142" i="123" s="1"/>
  <c r="J36" i="123"/>
  <c r="J141" i="123" s="1"/>
  <c r="H36" i="123"/>
  <c r="H141" i="123" s="1"/>
  <c r="H152" i="123" s="1"/>
  <c r="G36" i="123"/>
  <c r="G141" i="123" s="1"/>
  <c r="F36" i="123"/>
  <c r="F141" i="123" s="1"/>
  <c r="I34" i="123"/>
  <c r="K34" i="123" s="1"/>
  <c r="I33" i="123"/>
  <c r="K33" i="123" s="1"/>
  <c r="I32" i="123"/>
  <c r="K32" i="123" s="1"/>
  <c r="I31" i="123"/>
  <c r="K31" i="123" s="1"/>
  <c r="I30" i="123"/>
  <c r="K30" i="123" s="1"/>
  <c r="I29" i="123"/>
  <c r="K29" i="123" s="1"/>
  <c r="I28" i="123"/>
  <c r="K28" i="123" s="1"/>
  <c r="I27" i="123"/>
  <c r="K27" i="123" s="1"/>
  <c r="I26" i="123"/>
  <c r="K26" i="123" s="1"/>
  <c r="I25" i="123"/>
  <c r="K25" i="123" s="1"/>
  <c r="I24" i="123"/>
  <c r="K24" i="123" s="1"/>
  <c r="I23" i="123"/>
  <c r="K23" i="123" s="1"/>
  <c r="I22" i="123"/>
  <c r="K22" i="123" s="1"/>
  <c r="I21" i="123"/>
  <c r="I36" i="123" s="1"/>
  <c r="I141" i="123" s="1"/>
  <c r="I152" i="123" s="1"/>
  <c r="K18" i="123"/>
  <c r="J152" i="123" l="1"/>
  <c r="F152" i="123"/>
  <c r="G152" i="123"/>
  <c r="K21" i="123"/>
  <c r="K36" i="123" s="1"/>
  <c r="K141" i="123" s="1"/>
  <c r="K86" i="123"/>
  <c r="K98" i="123" s="1"/>
  <c r="K146" i="123" s="1"/>
  <c r="K102" i="123"/>
  <c r="K108" i="123" s="1"/>
  <c r="K147" i="123" s="1"/>
  <c r="K152" i="123" l="1"/>
  <c r="F154" i="123" l="1"/>
  <c r="F155" i="123"/>
  <c r="I150" i="113" l="1"/>
  <c r="J149" i="113"/>
  <c r="H149" i="113"/>
  <c r="F149" i="113"/>
  <c r="G147" i="113"/>
  <c r="G143" i="113"/>
  <c r="J137" i="113"/>
  <c r="I137" i="113"/>
  <c r="I149" i="113" s="1"/>
  <c r="H137" i="113"/>
  <c r="G137" i="113"/>
  <c r="G149" i="113" s="1"/>
  <c r="F137" i="113"/>
  <c r="K135" i="113"/>
  <c r="K134" i="113"/>
  <c r="K133" i="113"/>
  <c r="K132" i="113"/>
  <c r="K131" i="113"/>
  <c r="K137" i="113" s="1"/>
  <c r="K149" i="113" s="1"/>
  <c r="F125" i="113"/>
  <c r="F121" i="113"/>
  <c r="F118" i="113"/>
  <c r="F117" i="113"/>
  <c r="F114" i="113"/>
  <c r="I106" i="113" s="1"/>
  <c r="K106" i="113" s="1"/>
  <c r="F111" i="113"/>
  <c r="K148" i="113" s="1"/>
  <c r="J108" i="113"/>
  <c r="J147" i="113" s="1"/>
  <c r="G108" i="113"/>
  <c r="H104" i="113"/>
  <c r="F104" i="113"/>
  <c r="H102" i="113"/>
  <c r="F102" i="113"/>
  <c r="J98" i="113"/>
  <c r="J146" i="113" s="1"/>
  <c r="H93" i="113"/>
  <c r="G93" i="113"/>
  <c r="G98" i="113" s="1"/>
  <c r="G146" i="113" s="1"/>
  <c r="F93" i="113"/>
  <c r="H92" i="113"/>
  <c r="F92" i="113"/>
  <c r="H91" i="113"/>
  <c r="F91" i="113"/>
  <c r="I90" i="113"/>
  <c r="K90" i="113" s="1"/>
  <c r="H88" i="113"/>
  <c r="F88" i="113"/>
  <c r="I87" i="113"/>
  <c r="K87" i="113" s="1"/>
  <c r="H86" i="113"/>
  <c r="J82" i="113"/>
  <c r="J145" i="113" s="1"/>
  <c r="I82" i="113"/>
  <c r="I145" i="113" s="1"/>
  <c r="K80" i="113"/>
  <c r="H79" i="113"/>
  <c r="K79" i="113" s="1"/>
  <c r="G79" i="113"/>
  <c r="G82" i="113" s="1"/>
  <c r="G145" i="113" s="1"/>
  <c r="F79" i="113"/>
  <c r="F82" i="113" s="1"/>
  <c r="F145" i="113" s="1"/>
  <c r="K78" i="113"/>
  <c r="H77" i="113"/>
  <c r="K77" i="113" s="1"/>
  <c r="I74" i="113"/>
  <c r="I144" i="113" s="1"/>
  <c r="G74" i="113"/>
  <c r="G144" i="113" s="1"/>
  <c r="K72" i="113"/>
  <c r="K71" i="113"/>
  <c r="K70" i="113"/>
  <c r="H69" i="113"/>
  <c r="J68" i="113"/>
  <c r="H68" i="113"/>
  <c r="F68" i="113"/>
  <c r="F74" i="113" s="1"/>
  <c r="F144" i="113" s="1"/>
  <c r="J64" i="113"/>
  <c r="J143" i="113" s="1"/>
  <c r="I64" i="113"/>
  <c r="I143" i="113" s="1"/>
  <c r="G64" i="113"/>
  <c r="K62" i="113"/>
  <c r="K61" i="113"/>
  <c r="K60" i="113"/>
  <c r="K59" i="113"/>
  <c r="K58" i="113"/>
  <c r="H57" i="113"/>
  <c r="K57" i="113" s="1"/>
  <c r="K56" i="113"/>
  <c r="H55" i="113"/>
  <c r="K55" i="113" s="1"/>
  <c r="F55" i="113"/>
  <c r="H54" i="113"/>
  <c r="K54" i="113" s="1"/>
  <c r="F54" i="113"/>
  <c r="K53" i="113"/>
  <c r="I49" i="113"/>
  <c r="I142" i="113" s="1"/>
  <c r="K47" i="113"/>
  <c r="K46" i="113"/>
  <c r="K45" i="113"/>
  <c r="K44" i="113"/>
  <c r="K43" i="113"/>
  <c r="J42" i="113"/>
  <c r="H42" i="113"/>
  <c r="G42" i="113"/>
  <c r="F42" i="113"/>
  <c r="H41" i="113"/>
  <c r="K41" i="113" s="1"/>
  <c r="G41" i="113"/>
  <c r="F41" i="113"/>
  <c r="J40" i="113"/>
  <c r="H40" i="113"/>
  <c r="G40" i="113"/>
  <c r="F40" i="113"/>
  <c r="I33" i="113"/>
  <c r="K33" i="113" s="1"/>
  <c r="I31" i="113"/>
  <c r="K31" i="113" s="1"/>
  <c r="J30" i="113"/>
  <c r="I30" i="113"/>
  <c r="H30" i="113"/>
  <c r="G30" i="113"/>
  <c r="F30" i="113"/>
  <c r="J29" i="113"/>
  <c r="H29" i="113"/>
  <c r="I29" i="113" s="1"/>
  <c r="G29" i="113"/>
  <c r="F29" i="113"/>
  <c r="I27" i="113"/>
  <c r="K27" i="113" s="1"/>
  <c r="J25" i="113"/>
  <c r="H25" i="113"/>
  <c r="I25" i="113" s="1"/>
  <c r="F25" i="113"/>
  <c r="G24" i="113"/>
  <c r="F24" i="113"/>
  <c r="J23" i="113"/>
  <c r="H23" i="113"/>
  <c r="F23" i="113"/>
  <c r="J22" i="113"/>
  <c r="H22" i="113"/>
  <c r="F22" i="113"/>
  <c r="J21" i="113"/>
  <c r="H21" i="113"/>
  <c r="G21" i="113"/>
  <c r="F21" i="113"/>
  <c r="J150" i="113"/>
  <c r="H150" i="113"/>
  <c r="K82" i="113" l="1"/>
  <c r="K145" i="113" s="1"/>
  <c r="I92" i="113"/>
  <c r="I104" i="113"/>
  <c r="K104" i="113" s="1"/>
  <c r="G36" i="113"/>
  <c r="G141" i="113" s="1"/>
  <c r="F49" i="113"/>
  <c r="F142" i="113" s="1"/>
  <c r="K68" i="113"/>
  <c r="F119" i="113"/>
  <c r="F123" i="113" s="1"/>
  <c r="F127" i="113" s="1"/>
  <c r="H49" i="113"/>
  <c r="H142" i="113" s="1"/>
  <c r="G49" i="113"/>
  <c r="G142" i="113" s="1"/>
  <c r="K30" i="113"/>
  <c r="J49" i="113"/>
  <c r="J142" i="113" s="1"/>
  <c r="K42" i="113"/>
  <c r="F64" i="113"/>
  <c r="F143" i="113" s="1"/>
  <c r="F98" i="113"/>
  <c r="F146" i="113" s="1"/>
  <c r="F36" i="113"/>
  <c r="F141" i="113" s="1"/>
  <c r="H36" i="113"/>
  <c r="H141" i="113" s="1"/>
  <c r="K18" i="113"/>
  <c r="K150" i="113" s="1"/>
  <c r="I21" i="113"/>
  <c r="K21" i="113" s="1"/>
  <c r="J36" i="113"/>
  <c r="J141" i="113" s="1"/>
  <c r="H108" i="113"/>
  <c r="H147" i="113" s="1"/>
  <c r="H82" i="113"/>
  <c r="H145" i="113" s="1"/>
  <c r="K92" i="113"/>
  <c r="K64" i="113"/>
  <c r="K143" i="113" s="1"/>
  <c r="H74" i="113"/>
  <c r="H144" i="113" s="1"/>
  <c r="H98" i="113"/>
  <c r="H146" i="113" s="1"/>
  <c r="I88" i="113"/>
  <c r="K88" i="113" s="1"/>
  <c r="I91" i="113"/>
  <c r="K91" i="113" s="1"/>
  <c r="F108" i="113"/>
  <c r="F147" i="113" s="1"/>
  <c r="H64" i="113"/>
  <c r="H143" i="113" s="1"/>
  <c r="I22" i="113"/>
  <c r="K22" i="113" s="1"/>
  <c r="K25" i="113"/>
  <c r="K29" i="113"/>
  <c r="K69" i="113"/>
  <c r="J74" i="113"/>
  <c r="J144" i="113" s="1"/>
  <c r="I93" i="113"/>
  <c r="K93" i="113" s="1"/>
  <c r="I95" i="113"/>
  <c r="K95" i="113" s="1"/>
  <c r="I102" i="113"/>
  <c r="I105" i="113"/>
  <c r="K105" i="113" s="1"/>
  <c r="I23" i="113"/>
  <c r="K23" i="113" s="1"/>
  <c r="I26" i="113"/>
  <c r="K26" i="113" s="1"/>
  <c r="I28" i="113"/>
  <c r="K28" i="113" s="1"/>
  <c r="I32" i="113"/>
  <c r="K32" i="113" s="1"/>
  <c r="I34" i="113"/>
  <c r="K34" i="113" s="1"/>
  <c r="K40" i="113"/>
  <c r="K49" i="113" s="1"/>
  <c r="K142" i="113" s="1"/>
  <c r="I86" i="113"/>
  <c r="I89" i="113"/>
  <c r="K89" i="113" s="1"/>
  <c r="I24" i="113"/>
  <c r="K24" i="113" s="1"/>
  <c r="I94" i="113"/>
  <c r="K94" i="113" s="1"/>
  <c r="I96" i="113"/>
  <c r="K96" i="113" s="1"/>
  <c r="I103" i="113"/>
  <c r="K103" i="113" s="1"/>
  <c r="G152" i="113" l="1"/>
  <c r="K74" i="113"/>
  <c r="K144" i="113" s="1"/>
  <c r="J152" i="113"/>
  <c r="H152" i="113"/>
  <c r="F152" i="113"/>
  <c r="K36" i="113"/>
  <c r="K141" i="113" s="1"/>
  <c r="K86" i="113"/>
  <c r="K98" i="113" s="1"/>
  <c r="K146" i="113" s="1"/>
  <c r="I98" i="113"/>
  <c r="I146" i="113" s="1"/>
  <c r="I108" i="113"/>
  <c r="I147" i="113" s="1"/>
  <c r="I36" i="113"/>
  <c r="I141" i="113" s="1"/>
  <c r="K102" i="113"/>
  <c r="K108" i="113" s="1"/>
  <c r="K147" i="113" s="1"/>
  <c r="I152" i="113" l="1"/>
  <c r="K152" i="113"/>
  <c r="F155" i="113" l="1"/>
  <c r="F154" i="113"/>
  <c r="I150" i="114" l="1"/>
  <c r="J149" i="114"/>
  <c r="F149" i="114"/>
  <c r="G145" i="114"/>
  <c r="J137" i="114"/>
  <c r="I137" i="114"/>
  <c r="I149" i="114" s="1"/>
  <c r="H137" i="114"/>
  <c r="H149" i="114" s="1"/>
  <c r="G137" i="114"/>
  <c r="G149" i="114" s="1"/>
  <c r="F137" i="114"/>
  <c r="K135" i="114"/>
  <c r="K134" i="114"/>
  <c r="K133" i="114"/>
  <c r="K132" i="114"/>
  <c r="K131" i="114"/>
  <c r="K137" i="114" s="1"/>
  <c r="K149" i="114" s="1"/>
  <c r="F125" i="114"/>
  <c r="F121" i="114"/>
  <c r="F118" i="114"/>
  <c r="F117" i="114"/>
  <c r="F114" i="114"/>
  <c r="I105" i="114" s="1"/>
  <c r="K105" i="114" s="1"/>
  <c r="F111" i="114"/>
  <c r="K148" i="114" s="1"/>
  <c r="J108" i="114"/>
  <c r="J147" i="114" s="1"/>
  <c r="G108" i="114"/>
  <c r="G147" i="114" s="1"/>
  <c r="I106" i="114"/>
  <c r="K106" i="114" s="1"/>
  <c r="H104" i="114"/>
  <c r="F104" i="114"/>
  <c r="H102" i="114"/>
  <c r="F102" i="114"/>
  <c r="J98" i="114"/>
  <c r="J146" i="114" s="1"/>
  <c r="H93" i="114"/>
  <c r="G93" i="114"/>
  <c r="F93" i="114"/>
  <c r="H92" i="114"/>
  <c r="F92" i="114"/>
  <c r="H91" i="114"/>
  <c r="F91" i="114"/>
  <c r="F90" i="114"/>
  <c r="H88" i="114"/>
  <c r="G88" i="114"/>
  <c r="F88" i="114"/>
  <c r="F87" i="114"/>
  <c r="H86" i="114"/>
  <c r="J82" i="114"/>
  <c r="J145" i="114" s="1"/>
  <c r="I82" i="114"/>
  <c r="I145" i="114" s="1"/>
  <c r="G82" i="114"/>
  <c r="K80" i="114"/>
  <c r="K79" i="114"/>
  <c r="F79" i="114"/>
  <c r="K78" i="114"/>
  <c r="H77" i="114"/>
  <c r="K77" i="114" s="1"/>
  <c r="K82" i="114" s="1"/>
  <c r="K145" i="114" s="1"/>
  <c r="F77" i="114"/>
  <c r="I74" i="114"/>
  <c r="I144" i="114" s="1"/>
  <c r="G74" i="114"/>
  <c r="G144" i="114" s="1"/>
  <c r="K72" i="114"/>
  <c r="K71" i="114"/>
  <c r="K70" i="114"/>
  <c r="H69" i="114"/>
  <c r="K69" i="114" s="1"/>
  <c r="J68" i="114"/>
  <c r="J74" i="114" s="1"/>
  <c r="J144" i="114" s="1"/>
  <c r="H68" i="114"/>
  <c r="F68" i="114"/>
  <c r="F74" i="114" s="1"/>
  <c r="F144" i="114" s="1"/>
  <c r="I143" i="114"/>
  <c r="K62" i="114"/>
  <c r="K61" i="114"/>
  <c r="K60" i="114"/>
  <c r="K59" i="114"/>
  <c r="K58" i="114"/>
  <c r="H57" i="114"/>
  <c r="K57" i="114" s="1"/>
  <c r="K56" i="114"/>
  <c r="H55" i="114"/>
  <c r="K55" i="114" s="1"/>
  <c r="F55" i="114"/>
  <c r="J54" i="114"/>
  <c r="J143" i="114" s="1"/>
  <c r="H54" i="114"/>
  <c r="G54" i="114"/>
  <c r="G64" i="114" s="1"/>
  <c r="G143" i="114" s="1"/>
  <c r="F54" i="114"/>
  <c r="K53" i="114"/>
  <c r="I49" i="114"/>
  <c r="I142" i="114" s="1"/>
  <c r="K47" i="114"/>
  <c r="K46" i="114"/>
  <c r="K45" i="114"/>
  <c r="K44" i="114"/>
  <c r="G44" i="114"/>
  <c r="F44" i="114"/>
  <c r="K43" i="114"/>
  <c r="J42" i="114"/>
  <c r="J49" i="114" s="1"/>
  <c r="J142" i="114" s="1"/>
  <c r="H42" i="114"/>
  <c r="K42" i="114" s="1"/>
  <c r="G42" i="114"/>
  <c r="F42" i="114"/>
  <c r="H41" i="114"/>
  <c r="K41" i="114" s="1"/>
  <c r="G41" i="114"/>
  <c r="F41" i="114"/>
  <c r="H40" i="114"/>
  <c r="G40" i="114"/>
  <c r="F40" i="114"/>
  <c r="I33" i="114"/>
  <c r="K33" i="114" s="1"/>
  <c r="J30" i="114"/>
  <c r="H30" i="114"/>
  <c r="F30" i="114"/>
  <c r="J29" i="114"/>
  <c r="I29" i="114"/>
  <c r="H29" i="114"/>
  <c r="G29" i="114"/>
  <c r="F29" i="114"/>
  <c r="I27" i="114"/>
  <c r="K27" i="114" s="1"/>
  <c r="I26" i="114"/>
  <c r="K26" i="114" s="1"/>
  <c r="J25" i="114"/>
  <c r="H25" i="114"/>
  <c r="I25" i="114" s="1"/>
  <c r="F25" i="114"/>
  <c r="H24" i="114"/>
  <c r="G24" i="114"/>
  <c r="F24" i="114"/>
  <c r="J23" i="114"/>
  <c r="H23" i="114"/>
  <c r="I23" i="114" s="1"/>
  <c r="F23" i="114"/>
  <c r="J22" i="114"/>
  <c r="H22" i="114"/>
  <c r="I22" i="114" s="1"/>
  <c r="F22" i="114"/>
  <c r="J21" i="114"/>
  <c r="H21" i="114"/>
  <c r="G21" i="114"/>
  <c r="F21" i="114"/>
  <c r="J150" i="114"/>
  <c r="H150" i="114"/>
  <c r="K22" i="114" l="1"/>
  <c r="F64" i="114"/>
  <c r="F143" i="114" s="1"/>
  <c r="I88" i="114"/>
  <c r="K29" i="114"/>
  <c r="G36" i="114"/>
  <c r="G141" i="114" s="1"/>
  <c r="I28" i="114"/>
  <c r="K28" i="114" s="1"/>
  <c r="I87" i="114"/>
  <c r="K87" i="114" s="1"/>
  <c r="I31" i="114"/>
  <c r="K31" i="114" s="1"/>
  <c r="I90" i="114"/>
  <c r="K90" i="114" s="1"/>
  <c r="I94" i="114"/>
  <c r="K94" i="114" s="1"/>
  <c r="F82" i="114"/>
  <c r="F145" i="114" s="1"/>
  <c r="I102" i="114"/>
  <c r="K102" i="114" s="1"/>
  <c r="I96" i="114"/>
  <c r="K96" i="114" s="1"/>
  <c r="I103" i="114"/>
  <c r="K103" i="114" s="1"/>
  <c r="H143" i="114"/>
  <c r="F98" i="114"/>
  <c r="F146" i="114" s="1"/>
  <c r="G98" i="114"/>
  <c r="G146" i="114" s="1"/>
  <c r="F119" i="114"/>
  <c r="F123" i="114" s="1"/>
  <c r="F127" i="114" s="1"/>
  <c r="H74" i="114"/>
  <c r="H144" i="114" s="1"/>
  <c r="I93" i="114"/>
  <c r="K93" i="114" s="1"/>
  <c r="H36" i="114"/>
  <c r="H141" i="114" s="1"/>
  <c r="F49" i="114"/>
  <c r="F142" i="114" s="1"/>
  <c r="F108" i="114"/>
  <c r="F147" i="114" s="1"/>
  <c r="H108" i="114"/>
  <c r="H147" i="114" s="1"/>
  <c r="J36" i="114"/>
  <c r="J141" i="114" s="1"/>
  <c r="J152" i="114" s="1"/>
  <c r="G49" i="114"/>
  <c r="G142" i="114" s="1"/>
  <c r="F36" i="114"/>
  <c r="F141" i="114" s="1"/>
  <c r="K23" i="114"/>
  <c r="H49" i="114"/>
  <c r="H142" i="114" s="1"/>
  <c r="H98" i="114"/>
  <c r="H146" i="114" s="1"/>
  <c r="K18" i="114"/>
  <c r="K150" i="114" s="1"/>
  <c r="I21" i="114"/>
  <c r="I24" i="114"/>
  <c r="K24" i="114" s="1"/>
  <c r="I30" i="114"/>
  <c r="K30" i="114" s="1"/>
  <c r="K40" i="114"/>
  <c r="K49" i="114" s="1"/>
  <c r="K142" i="114" s="1"/>
  <c r="K54" i="114"/>
  <c r="K143" i="114" s="1"/>
  <c r="K88" i="114"/>
  <c r="I91" i="114"/>
  <c r="K91" i="114" s="1"/>
  <c r="I92" i="114"/>
  <c r="K92" i="114" s="1"/>
  <c r="K25" i="114"/>
  <c r="I32" i="114"/>
  <c r="K32" i="114" s="1"/>
  <c r="I34" i="114"/>
  <c r="K34" i="114" s="1"/>
  <c r="K68" i="114"/>
  <c r="K74" i="114" s="1"/>
  <c r="K144" i="114" s="1"/>
  <c r="I89" i="114"/>
  <c r="K89" i="114" s="1"/>
  <c r="I95" i="114"/>
  <c r="K95" i="114" s="1"/>
  <c r="H82" i="114"/>
  <c r="H145" i="114" s="1"/>
  <c r="I86" i="114"/>
  <c r="K86" i="114" s="1"/>
  <c r="I104" i="114"/>
  <c r="G152" i="114" l="1"/>
  <c r="I108" i="114"/>
  <c r="I147" i="114" s="1"/>
  <c r="F152" i="114"/>
  <c r="K104" i="114"/>
  <c r="K108" i="114" s="1"/>
  <c r="K147" i="114" s="1"/>
  <c r="H152" i="114"/>
  <c r="K98" i="114"/>
  <c r="K146" i="114" s="1"/>
  <c r="I36" i="114"/>
  <c r="I141" i="114" s="1"/>
  <c r="I98" i="114"/>
  <c r="I146" i="114" s="1"/>
  <c r="K21" i="114"/>
  <c r="K36" i="114" s="1"/>
  <c r="K141" i="114" s="1"/>
  <c r="K152" i="114" l="1"/>
  <c r="I152" i="114"/>
  <c r="F155" i="114"/>
  <c r="F154" i="114"/>
  <c r="I150" i="119" l="1"/>
  <c r="J149" i="119"/>
  <c r="F149" i="119"/>
  <c r="J137" i="119"/>
  <c r="I137" i="119"/>
  <c r="I149" i="119" s="1"/>
  <c r="H137" i="119"/>
  <c r="H149" i="119" s="1"/>
  <c r="G137" i="119"/>
  <c r="G149" i="119" s="1"/>
  <c r="F137" i="119"/>
  <c r="K135" i="119"/>
  <c r="K134" i="119"/>
  <c r="K133" i="119"/>
  <c r="K137" i="119" s="1"/>
  <c r="K149" i="119" s="1"/>
  <c r="K132" i="119"/>
  <c r="K131" i="119"/>
  <c r="F125" i="119"/>
  <c r="F121" i="119"/>
  <c r="F118" i="119"/>
  <c r="F119" i="119" s="1"/>
  <c r="F117" i="119"/>
  <c r="F114" i="119"/>
  <c r="I105" i="119" s="1"/>
  <c r="K105" i="119" s="1"/>
  <c r="F111" i="119"/>
  <c r="K148" i="119" s="1"/>
  <c r="J104" i="119"/>
  <c r="H104" i="119"/>
  <c r="G104" i="119"/>
  <c r="F104" i="119"/>
  <c r="J103" i="119"/>
  <c r="H103" i="119"/>
  <c r="G103" i="119"/>
  <c r="F103" i="119"/>
  <c r="J102" i="119"/>
  <c r="H102" i="119"/>
  <c r="G102" i="119"/>
  <c r="F102" i="119"/>
  <c r="F108" i="119" s="1"/>
  <c r="F147" i="119" s="1"/>
  <c r="J93" i="119"/>
  <c r="H93" i="119"/>
  <c r="G93" i="119"/>
  <c r="F93" i="119"/>
  <c r="J92" i="119"/>
  <c r="H92" i="119"/>
  <c r="G92" i="119"/>
  <c r="F92" i="119"/>
  <c r="J91" i="119"/>
  <c r="H91" i="119"/>
  <c r="G91" i="119"/>
  <c r="F91" i="119"/>
  <c r="J90" i="119"/>
  <c r="H90" i="119"/>
  <c r="G90" i="119"/>
  <c r="F90" i="119"/>
  <c r="J89" i="119"/>
  <c r="H89" i="119"/>
  <c r="G89" i="119"/>
  <c r="F89" i="119"/>
  <c r="J88" i="119"/>
  <c r="H88" i="119"/>
  <c r="G88" i="119"/>
  <c r="F88" i="119"/>
  <c r="J87" i="119"/>
  <c r="H87" i="119"/>
  <c r="G87" i="119"/>
  <c r="F87" i="119"/>
  <c r="J86" i="119"/>
  <c r="H86" i="119"/>
  <c r="G86" i="119"/>
  <c r="F86" i="119"/>
  <c r="I82" i="119"/>
  <c r="I145" i="119" s="1"/>
  <c r="K80" i="119"/>
  <c r="K79" i="119"/>
  <c r="K78" i="119"/>
  <c r="J77" i="119"/>
  <c r="J82" i="119" s="1"/>
  <c r="J145" i="119" s="1"/>
  <c r="H77" i="119"/>
  <c r="G77" i="119"/>
  <c r="G82" i="119" s="1"/>
  <c r="G145" i="119" s="1"/>
  <c r="F77" i="119"/>
  <c r="F82" i="119" s="1"/>
  <c r="F145" i="119" s="1"/>
  <c r="I74" i="119"/>
  <c r="I144" i="119" s="1"/>
  <c r="K72" i="119"/>
  <c r="K71" i="119"/>
  <c r="K70" i="119"/>
  <c r="J69" i="119"/>
  <c r="H69" i="119"/>
  <c r="G69" i="119"/>
  <c r="F69" i="119"/>
  <c r="J68" i="119"/>
  <c r="J74" i="119" s="1"/>
  <c r="J144" i="119" s="1"/>
  <c r="H68" i="119"/>
  <c r="G68" i="119"/>
  <c r="F68" i="119"/>
  <c r="I143" i="119"/>
  <c r="J57" i="119"/>
  <c r="H57" i="119"/>
  <c r="G57" i="119"/>
  <c r="F57" i="119"/>
  <c r="J56" i="119"/>
  <c r="H56" i="119"/>
  <c r="G56" i="119"/>
  <c r="F56" i="119"/>
  <c r="J55" i="119"/>
  <c r="H55" i="119"/>
  <c r="G55" i="119"/>
  <c r="F55" i="119"/>
  <c r="J54" i="119"/>
  <c r="H54" i="119"/>
  <c r="G54" i="119"/>
  <c r="F54" i="119"/>
  <c r="J53" i="119"/>
  <c r="H53" i="119"/>
  <c r="G53" i="119"/>
  <c r="F53" i="119"/>
  <c r="F64" i="119" s="1"/>
  <c r="F143" i="119" s="1"/>
  <c r="I49" i="119"/>
  <c r="I142" i="119" s="1"/>
  <c r="K47" i="119"/>
  <c r="K46" i="119"/>
  <c r="K45" i="119"/>
  <c r="K44" i="119"/>
  <c r="J43" i="119"/>
  <c r="H43" i="119"/>
  <c r="G43" i="119"/>
  <c r="F43" i="119"/>
  <c r="J42" i="119"/>
  <c r="H42" i="119"/>
  <c r="G42" i="119"/>
  <c r="F42" i="119"/>
  <c r="J41" i="119"/>
  <c r="H41" i="119"/>
  <c r="K41" i="119" s="1"/>
  <c r="G41" i="119"/>
  <c r="F41" i="119"/>
  <c r="J40" i="119"/>
  <c r="H40" i="119"/>
  <c r="G40" i="119"/>
  <c r="F40" i="119"/>
  <c r="I33" i="119"/>
  <c r="K33" i="119" s="1"/>
  <c r="I32" i="119"/>
  <c r="K32" i="119" s="1"/>
  <c r="J30" i="119"/>
  <c r="H30" i="119"/>
  <c r="I30" i="119" s="1"/>
  <c r="G30" i="119"/>
  <c r="F30" i="119"/>
  <c r="J29" i="119"/>
  <c r="H29" i="119"/>
  <c r="G29" i="119"/>
  <c r="F29" i="119"/>
  <c r="J28" i="119"/>
  <c r="H28" i="119"/>
  <c r="G28" i="119"/>
  <c r="F28" i="119"/>
  <c r="G16" i="60" s="1"/>
  <c r="J27" i="119"/>
  <c r="H27" i="119"/>
  <c r="G27" i="119"/>
  <c r="F27" i="119"/>
  <c r="J26" i="119"/>
  <c r="H26" i="119"/>
  <c r="I26" i="119" s="1"/>
  <c r="G26" i="119"/>
  <c r="F26" i="119"/>
  <c r="G14" i="60" s="1"/>
  <c r="J25" i="119"/>
  <c r="H25" i="119"/>
  <c r="I25" i="119" s="1"/>
  <c r="G25" i="119"/>
  <c r="F25" i="119"/>
  <c r="J24" i="119"/>
  <c r="H24" i="119"/>
  <c r="G24" i="119"/>
  <c r="F24" i="119"/>
  <c r="J23" i="119"/>
  <c r="H23" i="119"/>
  <c r="I23" i="119" s="1"/>
  <c r="G23" i="119"/>
  <c r="F23" i="119"/>
  <c r="G11" i="60" s="1"/>
  <c r="J22" i="119"/>
  <c r="H22" i="119"/>
  <c r="I22" i="119" s="1"/>
  <c r="G22" i="119"/>
  <c r="F22" i="119"/>
  <c r="J21" i="119"/>
  <c r="H21" i="119"/>
  <c r="G21" i="119"/>
  <c r="F21" i="119"/>
  <c r="J18" i="119"/>
  <c r="J150" i="119" s="1"/>
  <c r="H18" i="119"/>
  <c r="G18" i="119"/>
  <c r="F18" i="119"/>
  <c r="K42" i="119" l="1"/>
  <c r="G74" i="119"/>
  <c r="G144" i="119" s="1"/>
  <c r="G49" i="119"/>
  <c r="G142" i="119" s="1"/>
  <c r="I88" i="119"/>
  <c r="I89" i="119"/>
  <c r="K89" i="119" s="1"/>
  <c r="I90" i="119"/>
  <c r="K90" i="119" s="1"/>
  <c r="I102" i="119"/>
  <c r="G108" i="119"/>
  <c r="G147" i="119" s="1"/>
  <c r="I104" i="119"/>
  <c r="K104" i="119" s="1"/>
  <c r="K69" i="119"/>
  <c r="K77" i="119"/>
  <c r="K82" i="119" s="1"/>
  <c r="K145" i="119" s="1"/>
  <c r="G98" i="119"/>
  <c r="G146" i="119" s="1"/>
  <c r="J108" i="119"/>
  <c r="J147" i="119" s="1"/>
  <c r="J36" i="119"/>
  <c r="J141" i="119" s="1"/>
  <c r="H108" i="119"/>
  <c r="H147" i="119" s="1"/>
  <c r="F36" i="119"/>
  <c r="F141" i="119" s="1"/>
  <c r="J143" i="119"/>
  <c r="G36" i="119"/>
  <c r="G141" i="119" s="1"/>
  <c r="K25" i="119"/>
  <c r="I27" i="119"/>
  <c r="K27" i="119" s="1"/>
  <c r="I29" i="119"/>
  <c r="K29" i="119" s="1"/>
  <c r="I31" i="119"/>
  <c r="K31" i="119" s="1"/>
  <c r="I34" i="119"/>
  <c r="K34" i="119" s="1"/>
  <c r="F74" i="119"/>
  <c r="F144" i="119" s="1"/>
  <c r="I91" i="119"/>
  <c r="K91" i="119" s="1"/>
  <c r="I94" i="119"/>
  <c r="K94" i="119" s="1"/>
  <c r="K68" i="119"/>
  <c r="K74" i="119" s="1"/>
  <c r="K144" i="119" s="1"/>
  <c r="F49" i="119"/>
  <c r="F142" i="119" s="1"/>
  <c r="K43" i="119"/>
  <c r="H74" i="119"/>
  <c r="H144" i="119" s="1"/>
  <c r="I86" i="119"/>
  <c r="K86" i="119" s="1"/>
  <c r="I87" i="119"/>
  <c r="K87" i="119" s="1"/>
  <c r="I92" i="119"/>
  <c r="K92" i="119" s="1"/>
  <c r="I93" i="119"/>
  <c r="K93" i="119" s="1"/>
  <c r="I96" i="119"/>
  <c r="K96" i="119" s="1"/>
  <c r="I106" i="119"/>
  <c r="K106" i="119" s="1"/>
  <c r="F123" i="119"/>
  <c r="F127" i="119" s="1"/>
  <c r="H143" i="119"/>
  <c r="G64" i="119"/>
  <c r="G143" i="119" s="1"/>
  <c r="F98" i="119"/>
  <c r="F146" i="119" s="1"/>
  <c r="J98" i="119"/>
  <c r="J146" i="119" s="1"/>
  <c r="H98" i="119"/>
  <c r="H146" i="119" s="1"/>
  <c r="K18" i="119"/>
  <c r="K150" i="119" s="1"/>
  <c r="H150" i="119"/>
  <c r="I21" i="119"/>
  <c r="H36" i="119"/>
  <c r="H141" i="119" s="1"/>
  <c r="K23" i="119"/>
  <c r="I24" i="119"/>
  <c r="K24" i="119" s="1"/>
  <c r="I28" i="119"/>
  <c r="K28" i="119" s="1"/>
  <c r="K40" i="119"/>
  <c r="H49" i="119"/>
  <c r="H142" i="119" s="1"/>
  <c r="H82" i="119"/>
  <c r="H145" i="119" s="1"/>
  <c r="K88" i="119"/>
  <c r="K22" i="119"/>
  <c r="K26" i="119"/>
  <c r="K30" i="119"/>
  <c r="J49" i="119"/>
  <c r="J142" i="119" s="1"/>
  <c r="K102" i="119"/>
  <c r="I103" i="119"/>
  <c r="K103" i="119" s="1"/>
  <c r="I95" i="119"/>
  <c r="K95" i="119" s="1"/>
  <c r="G152" i="119" l="1"/>
  <c r="F152" i="119"/>
  <c r="I108" i="119"/>
  <c r="I147" i="119" s="1"/>
  <c r="K143" i="119"/>
  <c r="J152" i="119"/>
  <c r="K49" i="119"/>
  <c r="K142" i="119" s="1"/>
  <c r="K108" i="119"/>
  <c r="K147" i="119" s="1"/>
  <c r="I36" i="119"/>
  <c r="I141" i="119" s="1"/>
  <c r="I152" i="119" s="1"/>
  <c r="K21" i="119"/>
  <c r="K36" i="119" s="1"/>
  <c r="K141" i="119" s="1"/>
  <c r="K98" i="119"/>
  <c r="K146" i="119" s="1"/>
  <c r="I98" i="119"/>
  <c r="I146" i="119" s="1"/>
  <c r="H152" i="119"/>
  <c r="K152" i="119" l="1"/>
  <c r="L120" i="60" s="1"/>
  <c r="F155" i="119"/>
  <c r="F154" i="119"/>
  <c r="D29" i="6" l="1"/>
  <c r="C29" i="6"/>
  <c r="E39" i="6"/>
  <c r="C64" i="6"/>
  <c r="B52" i="6" s="1"/>
  <c r="B64" i="6"/>
  <c r="B76" i="6" s="1"/>
  <c r="B29" i="6" l="1"/>
  <c r="E29" i="6" s="1"/>
  <c r="D64" i="6" s="1"/>
  <c r="C52" i="6" s="1"/>
  <c r="C76" i="6" l="1"/>
  <c r="E19" i="126" l="1"/>
  <c r="K19" i="126"/>
  <c r="K31" i="126"/>
  <c r="E31" i="126" l="1"/>
  <c r="D31" i="126"/>
  <c r="E20" i="126"/>
  <c r="E38" i="126"/>
  <c r="G100" i="60" l="1"/>
  <c r="H100" i="60"/>
  <c r="G101" i="60"/>
  <c r="H101" i="60"/>
  <c r="G102" i="60"/>
  <c r="H102" i="60"/>
  <c r="G103" i="60"/>
  <c r="H103" i="60"/>
  <c r="H99" i="60"/>
  <c r="H85" i="60"/>
  <c r="K68" i="60"/>
  <c r="H72" i="60"/>
  <c r="K72" i="60"/>
  <c r="G76" i="60"/>
  <c r="H76" i="60"/>
  <c r="I76" i="60"/>
  <c r="K76" i="60"/>
  <c r="H66" i="60"/>
  <c r="K66" i="60"/>
  <c r="G66" i="60"/>
  <c r="G56" i="60" l="1"/>
  <c r="H56" i="60"/>
  <c r="I56" i="60"/>
  <c r="K56" i="60"/>
  <c r="K57" i="60"/>
  <c r="G58" i="60"/>
  <c r="H58" i="60"/>
  <c r="I58" i="60"/>
  <c r="K58" i="60"/>
  <c r="G48" i="60"/>
  <c r="H48" i="60"/>
  <c r="K48" i="60"/>
  <c r="G49" i="60"/>
  <c r="H49" i="60"/>
  <c r="I49" i="60"/>
  <c r="K49" i="60"/>
  <c r="H47" i="60"/>
  <c r="K30" i="60"/>
  <c r="G32" i="60"/>
  <c r="H32" i="60"/>
  <c r="I32" i="60"/>
  <c r="K32" i="60"/>
  <c r="G33" i="60"/>
  <c r="H33" i="60"/>
  <c r="I33" i="60"/>
  <c r="K33" i="60"/>
  <c r="G34" i="60"/>
  <c r="H34" i="60"/>
  <c r="I34" i="60"/>
  <c r="K34" i="60"/>
  <c r="G35" i="60"/>
  <c r="H35" i="60"/>
  <c r="I35" i="60"/>
  <c r="K35" i="60"/>
  <c r="G36" i="60"/>
  <c r="H36" i="60"/>
  <c r="I36" i="60"/>
  <c r="K36" i="60"/>
  <c r="H6" i="60"/>
  <c r="J6" i="60"/>
  <c r="G6" i="60"/>
  <c r="G99" i="60" l="1"/>
  <c r="K22" i="60"/>
  <c r="H22" i="60"/>
  <c r="G22" i="60"/>
  <c r="K21" i="60"/>
  <c r="I21" i="60"/>
  <c r="H21" i="60"/>
  <c r="G21" i="60"/>
  <c r="K20" i="60"/>
  <c r="H20" i="60"/>
  <c r="K19" i="60"/>
  <c r="I19" i="60"/>
  <c r="H19" i="60"/>
  <c r="G19" i="60"/>
  <c r="H18" i="60"/>
  <c r="H17" i="60"/>
  <c r="K16" i="60"/>
  <c r="H16" i="60"/>
  <c r="K15" i="60"/>
  <c r="I15" i="60"/>
  <c r="H15" i="60"/>
  <c r="G15" i="60"/>
  <c r="H14" i="60"/>
  <c r="I12" i="60" l="1"/>
  <c r="L10" i="60" l="1"/>
  <c r="L13" i="60"/>
  <c r="L11" i="60"/>
  <c r="L9" i="60"/>
  <c r="L15" i="60"/>
  <c r="K12" i="60" l="1"/>
  <c r="I16" i="60" l="1"/>
  <c r="K14" i="60"/>
  <c r="I14" i="60"/>
  <c r="J58" i="60" l="1"/>
  <c r="J56" i="60"/>
  <c r="J49" i="60"/>
  <c r="D30" i="126" l="1"/>
  <c r="G87" i="60" l="1"/>
  <c r="G86" i="60"/>
  <c r="G75" i="60"/>
  <c r="G74" i="60"/>
  <c r="H70" i="60"/>
  <c r="G69" i="60"/>
  <c r="H86" i="60" l="1"/>
  <c r="H69" i="60"/>
  <c r="I70" i="60"/>
  <c r="H75" i="60"/>
  <c r="H74" i="60"/>
  <c r="I86" i="60" l="1"/>
  <c r="H87" i="60"/>
  <c r="I69" i="60"/>
  <c r="I75" i="60"/>
  <c r="I74" i="60"/>
  <c r="K70" i="60"/>
  <c r="I87" i="60" l="1"/>
  <c r="K69" i="60"/>
  <c r="K75" i="60"/>
  <c r="K74" i="60"/>
  <c r="K86" i="60" l="1"/>
  <c r="K87" i="60"/>
  <c r="D19" i="126" l="1"/>
  <c r="K55" i="60"/>
  <c r="H55" i="60"/>
  <c r="F19" i="126" l="1"/>
  <c r="K85" i="60" l="1"/>
  <c r="I85" i="60"/>
  <c r="G85" i="60"/>
  <c r="I72" i="60"/>
  <c r="G72" i="60"/>
  <c r="G70" i="60"/>
  <c r="I68" i="60"/>
  <c r="H68" i="60"/>
  <c r="G68" i="60"/>
  <c r="I66" i="60"/>
  <c r="I57" i="60"/>
  <c r="H57" i="60"/>
  <c r="G57" i="60"/>
  <c r="I55" i="60"/>
  <c r="G55" i="60"/>
  <c r="I48" i="60"/>
  <c r="K47" i="60"/>
  <c r="I47" i="60"/>
  <c r="G47" i="60"/>
  <c r="K31" i="60"/>
  <c r="I31" i="60"/>
  <c r="H31" i="60"/>
  <c r="G31" i="60"/>
  <c r="K29" i="60"/>
  <c r="H29" i="60"/>
  <c r="G29" i="60"/>
  <c r="K18" i="60"/>
  <c r="I18" i="60"/>
  <c r="G18" i="60"/>
  <c r="G17" i="60"/>
  <c r="H12" i="60"/>
  <c r="G12" i="60"/>
  <c r="J36" i="60" l="1"/>
  <c r="J35" i="60"/>
  <c r="J34" i="60"/>
  <c r="J33" i="60"/>
  <c r="J32" i="60"/>
  <c r="K17" i="60"/>
  <c r="K84" i="60" l="1"/>
  <c r="I84" i="60"/>
  <c r="H84" i="60"/>
  <c r="G84" i="60"/>
  <c r="K83" i="60"/>
  <c r="I83" i="60"/>
  <c r="H83" i="60"/>
  <c r="G83" i="60"/>
  <c r="K73" i="60"/>
  <c r="I73" i="60"/>
  <c r="H73" i="60"/>
  <c r="G73" i="60"/>
  <c r="K71" i="60"/>
  <c r="I71" i="60"/>
  <c r="H71" i="60"/>
  <c r="G71" i="60"/>
  <c r="K67" i="60"/>
  <c r="I67" i="60"/>
  <c r="H67" i="60"/>
  <c r="G67" i="60"/>
  <c r="I30" i="60"/>
  <c r="H30" i="60"/>
  <c r="G30" i="60"/>
  <c r="G38" i="60" s="1"/>
  <c r="K13" i="60"/>
  <c r="I13" i="60"/>
  <c r="H13" i="60"/>
  <c r="G13" i="60"/>
  <c r="K11" i="60"/>
  <c r="I11" i="60"/>
  <c r="H11" i="60"/>
  <c r="K10" i="60"/>
  <c r="K6" i="60"/>
  <c r="I6" i="60"/>
  <c r="I118" i="60" s="1"/>
  <c r="J57" i="60" l="1"/>
  <c r="J55" i="60"/>
  <c r="J48" i="60"/>
  <c r="J31" i="60"/>
  <c r="J30" i="60"/>
  <c r="J29" i="60"/>
  <c r="G20" i="60"/>
  <c r="K9" i="60"/>
  <c r="H9" i="60"/>
  <c r="I10" i="60" l="1"/>
  <c r="I20" i="60"/>
  <c r="G9" i="60"/>
  <c r="I9" i="60"/>
  <c r="J47" i="60" l="1"/>
  <c r="D6" i="126" l="1"/>
  <c r="I29" i="60" l="1"/>
  <c r="I17" i="60"/>
  <c r="H10" i="60"/>
  <c r="G10" i="60"/>
  <c r="J84" i="60" l="1"/>
  <c r="J83" i="60"/>
  <c r="J73" i="60"/>
  <c r="J72" i="60"/>
  <c r="J71" i="60"/>
  <c r="J68" i="60"/>
  <c r="J67" i="60"/>
  <c r="J17" i="60"/>
  <c r="J14" i="60"/>
  <c r="J13" i="60"/>
  <c r="J10" i="60"/>
  <c r="J9" i="60" l="1"/>
  <c r="J87" i="60"/>
  <c r="J85" i="60"/>
  <c r="L83" i="60"/>
  <c r="J76" i="60"/>
  <c r="J75" i="60"/>
  <c r="J74" i="60"/>
  <c r="L73" i="60"/>
  <c r="L72" i="60"/>
  <c r="M72" i="60" s="1"/>
  <c r="L71" i="60"/>
  <c r="J70" i="60"/>
  <c r="J69" i="60"/>
  <c r="L68" i="60"/>
  <c r="L67" i="60"/>
  <c r="J66" i="60"/>
  <c r="L58" i="60"/>
  <c r="L57" i="60"/>
  <c r="L56" i="60"/>
  <c r="L55" i="60"/>
  <c r="L49" i="60"/>
  <c r="L48" i="60"/>
  <c r="L47" i="60"/>
  <c r="K43" i="60"/>
  <c r="J43" i="60"/>
  <c r="I43" i="60"/>
  <c r="H43" i="60"/>
  <c r="G43" i="60"/>
  <c r="L36" i="60"/>
  <c r="L35" i="60"/>
  <c r="L34" i="60"/>
  <c r="L33" i="60"/>
  <c r="L32" i="60"/>
  <c r="L31" i="60"/>
  <c r="L30" i="60"/>
  <c r="L29" i="60"/>
  <c r="L17" i="60"/>
  <c r="L14" i="60"/>
  <c r="J11" i="60"/>
  <c r="M9" i="60"/>
  <c r="L12" i="60" l="1"/>
  <c r="J12" i="60"/>
  <c r="L21" i="60"/>
  <c r="J21" i="60"/>
  <c r="L22" i="60"/>
  <c r="J22" i="60"/>
  <c r="J15" i="60"/>
  <c r="L6" i="60"/>
  <c r="M6" i="60" s="1"/>
  <c r="L16" i="60"/>
  <c r="J16" i="60"/>
  <c r="L18" i="60"/>
  <c r="J18" i="60"/>
  <c r="L84" i="60"/>
  <c r="L19" i="60"/>
  <c r="J19" i="60"/>
  <c r="L20" i="60"/>
  <c r="J20" i="60"/>
  <c r="L86" i="60"/>
  <c r="J86" i="60"/>
  <c r="L74" i="60"/>
  <c r="L66" i="60"/>
  <c r="L70" i="60"/>
  <c r="L75" i="60"/>
  <c r="L87" i="60"/>
  <c r="L76" i="60"/>
  <c r="L43" i="60"/>
  <c r="L69" i="60"/>
  <c r="L85" i="60"/>
  <c r="M11" i="60"/>
  <c r="M43" i="60" l="1"/>
  <c r="B28" i="6" l="1"/>
  <c r="C28" i="6"/>
  <c r="D28" i="6"/>
  <c r="E38" i="6"/>
  <c r="E28" i="6" l="1"/>
  <c r="K3" i="126" l="1"/>
  <c r="F3" i="126"/>
  <c r="D3" i="126"/>
  <c r="K25" i="126"/>
  <c r="F25" i="126"/>
  <c r="E25" i="126"/>
  <c r="D25" i="126"/>
  <c r="K20" i="126"/>
  <c r="D20" i="126"/>
  <c r="K15" i="126"/>
  <c r="F15" i="126"/>
  <c r="F14" i="126"/>
  <c r="E15" i="126"/>
  <c r="E14" i="126"/>
  <c r="D15" i="126"/>
  <c r="D14" i="126"/>
  <c r="K21" i="126"/>
  <c r="F21" i="126"/>
  <c r="E21" i="126"/>
  <c r="D21" i="126"/>
  <c r="C21" i="126"/>
  <c r="C20" i="126"/>
  <c r="C3" i="126"/>
  <c r="C63" i="6" l="1"/>
  <c r="D63" i="6" s="1"/>
  <c r="B63" i="6"/>
  <c r="K49" i="126"/>
  <c r="K48" i="126"/>
  <c r="B75" i="6" l="1"/>
  <c r="B51" i="6"/>
  <c r="C31" i="6"/>
  <c r="B31" i="6"/>
  <c r="C51" i="6" l="1"/>
  <c r="C75" i="6" l="1"/>
  <c r="K50" i="126" l="1"/>
  <c r="K51" i="126"/>
  <c r="F50" i="126"/>
  <c r="I50" i="126" s="1"/>
  <c r="F51" i="126"/>
  <c r="E50" i="126"/>
  <c r="E51" i="126"/>
  <c r="D50" i="126"/>
  <c r="D53" i="126"/>
  <c r="D51" i="126"/>
  <c r="C50" i="126"/>
  <c r="C53" i="126"/>
  <c r="C51" i="126"/>
  <c r="C52" i="126"/>
  <c r="C42" i="126"/>
  <c r="K41" i="126"/>
  <c r="F41" i="126"/>
  <c r="E41" i="126"/>
  <c r="D41" i="126"/>
  <c r="C41" i="126"/>
  <c r="K43" i="126"/>
  <c r="F43" i="126"/>
  <c r="E43" i="126"/>
  <c r="D43" i="126"/>
  <c r="C43" i="126"/>
  <c r="F49" i="126"/>
  <c r="E49" i="126"/>
  <c r="D49" i="126"/>
  <c r="C49" i="126"/>
  <c r="F48" i="126"/>
  <c r="E48" i="126"/>
  <c r="D48" i="126"/>
  <c r="C48" i="126"/>
  <c r="K47" i="126"/>
  <c r="F47" i="126"/>
  <c r="E47" i="126"/>
  <c r="D47" i="126"/>
  <c r="C47" i="126"/>
  <c r="K46" i="126"/>
  <c r="F46" i="126"/>
  <c r="E46" i="126"/>
  <c r="D46" i="126"/>
  <c r="C46" i="126"/>
  <c r="K45" i="126"/>
  <c r="F45" i="126"/>
  <c r="E45" i="126"/>
  <c r="D45" i="126"/>
  <c r="C45" i="126"/>
  <c r="K44" i="126"/>
  <c r="E44" i="126"/>
  <c r="D44" i="126"/>
  <c r="C44" i="126"/>
  <c r="K40" i="126"/>
  <c r="F40" i="126"/>
  <c r="E40" i="126"/>
  <c r="D40" i="126"/>
  <c r="C40" i="126"/>
  <c r="K39" i="126"/>
  <c r="F39" i="126"/>
  <c r="E39" i="126"/>
  <c r="D39" i="126"/>
  <c r="C39" i="126"/>
  <c r="C38" i="126"/>
  <c r="K37" i="126"/>
  <c r="F37" i="126"/>
  <c r="E37" i="126"/>
  <c r="D37" i="126"/>
  <c r="C37" i="126"/>
  <c r="K36" i="126"/>
  <c r="E36" i="126"/>
  <c r="D36" i="126"/>
  <c r="C36" i="126"/>
  <c r="K35" i="126"/>
  <c r="F35" i="126"/>
  <c r="E35" i="126"/>
  <c r="D35" i="126"/>
  <c r="C35" i="126"/>
  <c r="K34" i="126"/>
  <c r="F34" i="126"/>
  <c r="E34" i="126"/>
  <c r="D34" i="126"/>
  <c r="C34" i="126"/>
  <c r="K33" i="126"/>
  <c r="F33" i="126"/>
  <c r="E33" i="126"/>
  <c r="D33" i="126"/>
  <c r="C33" i="126"/>
  <c r="K32" i="126"/>
  <c r="E32" i="126"/>
  <c r="C32" i="126"/>
  <c r="K30" i="126"/>
  <c r="E30" i="126"/>
  <c r="C30" i="126"/>
  <c r="K29" i="126"/>
  <c r="F29" i="126"/>
  <c r="E29" i="126"/>
  <c r="D29" i="126"/>
  <c r="C29" i="126"/>
  <c r="K28" i="126"/>
  <c r="F28" i="126"/>
  <c r="E28" i="126"/>
  <c r="D28" i="126"/>
  <c r="C28" i="126"/>
  <c r="K27" i="126"/>
  <c r="F27" i="126"/>
  <c r="E27" i="126"/>
  <c r="D27" i="126"/>
  <c r="C27" i="126"/>
  <c r="C25" i="126"/>
  <c r="K24" i="126"/>
  <c r="F24" i="126"/>
  <c r="E24" i="126"/>
  <c r="D24" i="126"/>
  <c r="C24" i="126"/>
  <c r="K23" i="126"/>
  <c r="F23" i="126"/>
  <c r="E23" i="126"/>
  <c r="D23" i="126"/>
  <c r="C23" i="126"/>
  <c r="K22" i="126"/>
  <c r="F22" i="126"/>
  <c r="E22" i="126"/>
  <c r="D22" i="126"/>
  <c r="C22" i="126"/>
  <c r="C19" i="126"/>
  <c r="K18" i="126"/>
  <c r="F18" i="126"/>
  <c r="E18" i="126"/>
  <c r="D18" i="126"/>
  <c r="C18" i="126"/>
  <c r="K17" i="126"/>
  <c r="E17" i="126"/>
  <c r="D17" i="126"/>
  <c r="C17" i="126"/>
  <c r="C16" i="126"/>
  <c r="C15" i="126"/>
  <c r="K14" i="126"/>
  <c r="C14" i="126"/>
  <c r="K13" i="126"/>
  <c r="F13" i="126"/>
  <c r="E13" i="126"/>
  <c r="D13" i="126"/>
  <c r="C13" i="126"/>
  <c r="K12" i="126"/>
  <c r="F12" i="126"/>
  <c r="E12" i="126"/>
  <c r="D12" i="126"/>
  <c r="C12" i="126"/>
  <c r="K10" i="126"/>
  <c r="F10" i="126"/>
  <c r="E10" i="126"/>
  <c r="D10" i="126"/>
  <c r="C10" i="126"/>
  <c r="K9" i="126"/>
  <c r="F9" i="126"/>
  <c r="E9" i="126"/>
  <c r="D9" i="126"/>
  <c r="C9" i="126"/>
  <c r="K8" i="126"/>
  <c r="F8" i="126"/>
  <c r="E8" i="126"/>
  <c r="D8" i="126"/>
  <c r="C8" i="126"/>
  <c r="K7" i="126"/>
  <c r="F7" i="126"/>
  <c r="E7" i="126"/>
  <c r="D7" i="126"/>
  <c r="C7" i="126"/>
  <c r="K6" i="126"/>
  <c r="F6" i="126"/>
  <c r="E6" i="126"/>
  <c r="C6" i="126"/>
  <c r="K5" i="126"/>
  <c r="F5" i="126"/>
  <c r="E5" i="126"/>
  <c r="D5" i="126"/>
  <c r="C5" i="126"/>
  <c r="C4" i="126"/>
  <c r="E3" i="126"/>
  <c r="G3" i="126" s="1"/>
  <c r="G29" i="126" l="1"/>
  <c r="G51" i="126"/>
  <c r="G50" i="126"/>
  <c r="G19" i="126"/>
  <c r="G27" i="126"/>
  <c r="G35" i="126"/>
  <c r="G45" i="126"/>
  <c r="G10" i="126"/>
  <c r="G7" i="126"/>
  <c r="G9" i="126"/>
  <c r="G47" i="126"/>
  <c r="G6" i="126"/>
  <c r="G18" i="126"/>
  <c r="G37" i="126"/>
  <c r="G15" i="126"/>
  <c r="G5" i="126"/>
  <c r="G23" i="126"/>
  <c r="G25" i="126"/>
  <c r="G33" i="126"/>
  <c r="G39" i="126"/>
  <c r="G49" i="126"/>
  <c r="G41" i="126"/>
  <c r="G13" i="126"/>
  <c r="G34" i="126"/>
  <c r="G14" i="126"/>
  <c r="G22" i="126"/>
  <c r="G48" i="126"/>
  <c r="G28" i="126"/>
  <c r="G40" i="126"/>
  <c r="G8" i="126"/>
  <c r="G12" i="126"/>
  <c r="G24" i="126"/>
  <c r="G46" i="126"/>
  <c r="G43" i="126"/>
  <c r="G21" i="126" l="1"/>
  <c r="G20" i="126" l="1"/>
  <c r="K52" i="126" l="1"/>
  <c r="E52" i="126"/>
  <c r="D52" i="126" l="1"/>
  <c r="F36" i="126" l="1"/>
  <c r="G36" i="126" l="1"/>
  <c r="F52" i="126"/>
  <c r="G52" i="126" l="1"/>
  <c r="E53" i="126" l="1"/>
  <c r="K53" i="126" l="1"/>
  <c r="F53" i="126" l="1"/>
  <c r="E42" i="126" l="1"/>
  <c r="K42" i="126"/>
  <c r="G53" i="126"/>
  <c r="K16" i="126" l="1"/>
  <c r="E16" i="126"/>
  <c r="D42" i="126"/>
  <c r="D16" i="126" l="1"/>
  <c r="F42" i="126" l="1"/>
  <c r="F16" i="126" l="1"/>
  <c r="G42" i="126"/>
  <c r="G16" i="126" l="1"/>
  <c r="C31" i="126" l="1"/>
  <c r="G31" i="126" l="1"/>
  <c r="K11" i="126" l="1"/>
  <c r="C11" i="126"/>
  <c r="D11" i="126" l="1"/>
  <c r="F11" i="126" l="1"/>
  <c r="G11" i="126" l="1"/>
  <c r="K26" i="126" l="1"/>
  <c r="E26" i="126"/>
  <c r="D26" i="126"/>
  <c r="C26" i="126"/>
  <c r="C56" i="126" s="1"/>
  <c r="C58" i="126" l="1"/>
  <c r="F26" i="126" l="1"/>
  <c r="G26" i="126" l="1"/>
  <c r="F44" i="126" l="1"/>
  <c r="G44" i="126" l="1"/>
  <c r="K38" i="126" l="1"/>
  <c r="D38" i="126"/>
  <c r="F38" i="126" l="1"/>
  <c r="G38" i="126" l="1"/>
  <c r="F30" i="126"/>
  <c r="G30" i="126" l="1"/>
  <c r="F17" i="126"/>
  <c r="G17" i="126" l="1"/>
  <c r="D32" i="126" l="1"/>
  <c r="G93" i="60"/>
  <c r="I116" i="60" s="1"/>
  <c r="G122" i="60"/>
  <c r="M116" i="60" l="1"/>
  <c r="L116" i="60"/>
  <c r="K4" i="126"/>
  <c r="F32" i="126"/>
  <c r="E4" i="126"/>
  <c r="K56" i="126" l="1"/>
  <c r="K58" i="126"/>
  <c r="E56" i="126"/>
  <c r="B90" i="6" s="1"/>
  <c r="B66" i="6" s="1"/>
  <c r="E58" i="126"/>
  <c r="D4" i="126"/>
  <c r="D62" i="126" s="1"/>
  <c r="G32" i="126"/>
  <c r="B27" i="6"/>
  <c r="D58" i="126" l="1"/>
  <c r="D56" i="126"/>
  <c r="F4" i="126" l="1"/>
  <c r="B62" i="6"/>
  <c r="B61" i="6"/>
  <c r="F58" i="126" l="1"/>
  <c r="F56" i="126"/>
  <c r="C90" i="6" s="1"/>
  <c r="C66" i="6" s="1"/>
  <c r="G4" i="126"/>
  <c r="B58" i="6"/>
  <c r="G56" i="126" l="1"/>
  <c r="B54" i="6"/>
  <c r="B78" i="6"/>
  <c r="G58" i="126"/>
  <c r="C62" i="6"/>
  <c r="C27" i="6"/>
  <c r="D27" i="6"/>
  <c r="E37" i="6"/>
  <c r="H5" i="126"/>
  <c r="I5" i="126" s="1"/>
  <c r="H6" i="126"/>
  <c r="I6" i="126" s="1"/>
  <c r="H7" i="126"/>
  <c r="I7" i="126" s="1"/>
  <c r="H8" i="126"/>
  <c r="I8" i="126" s="1"/>
  <c r="H9" i="126"/>
  <c r="I9" i="126" s="1"/>
  <c r="H10" i="126"/>
  <c r="I10" i="126" s="1"/>
  <c r="H11" i="126"/>
  <c r="I11" i="126" s="1"/>
  <c r="H12" i="126"/>
  <c r="I12" i="126" s="1"/>
  <c r="H13" i="126"/>
  <c r="I13" i="126" s="1"/>
  <c r="H14" i="126"/>
  <c r="I14" i="126" s="1"/>
  <c r="H15" i="126"/>
  <c r="I15" i="126" s="1"/>
  <c r="H16" i="126"/>
  <c r="I16" i="126" s="1"/>
  <c r="H17" i="126"/>
  <c r="I17" i="126" s="1"/>
  <c r="H18" i="126"/>
  <c r="I18" i="126" s="1"/>
  <c r="H19" i="126"/>
  <c r="I19" i="126" s="1"/>
  <c r="H20" i="126"/>
  <c r="I20" i="126" s="1"/>
  <c r="H21" i="126"/>
  <c r="I21" i="126" s="1"/>
  <c r="H22" i="126"/>
  <c r="I22" i="126" s="1"/>
  <c r="H23" i="126"/>
  <c r="I23" i="126" s="1"/>
  <c r="H24" i="126"/>
  <c r="I24" i="126" s="1"/>
  <c r="H25" i="126"/>
  <c r="I25" i="126" s="1"/>
  <c r="H26" i="126"/>
  <c r="I26" i="126" s="1"/>
  <c r="H27" i="126"/>
  <c r="I27" i="126" s="1"/>
  <c r="H28" i="126"/>
  <c r="I28" i="126" s="1"/>
  <c r="H29" i="126"/>
  <c r="I29" i="126" s="1"/>
  <c r="H30" i="126"/>
  <c r="I30" i="126" s="1"/>
  <c r="H31" i="126"/>
  <c r="I31" i="126" s="1"/>
  <c r="H32" i="126"/>
  <c r="I32" i="126" s="1"/>
  <c r="H33" i="126"/>
  <c r="I33" i="126" s="1"/>
  <c r="H34" i="126"/>
  <c r="I34" i="126" s="1"/>
  <c r="H35" i="126"/>
  <c r="I35" i="126" s="1"/>
  <c r="H36" i="126"/>
  <c r="I36" i="126" s="1"/>
  <c r="H37" i="126"/>
  <c r="I37" i="126" s="1"/>
  <c r="H38" i="126"/>
  <c r="I38" i="126" s="1"/>
  <c r="H39" i="126"/>
  <c r="I39" i="126" s="1"/>
  <c r="H40" i="126"/>
  <c r="I40" i="126" s="1"/>
  <c r="I45" i="126"/>
  <c r="I44" i="126"/>
  <c r="I46" i="126"/>
  <c r="I41" i="126"/>
  <c r="I42" i="126"/>
  <c r="I48" i="126"/>
  <c r="I43" i="126"/>
  <c r="I49" i="126"/>
  <c r="I53" i="126"/>
  <c r="J53" i="126" l="1"/>
  <c r="J42" i="126"/>
  <c r="J45" i="126"/>
  <c r="J34" i="126"/>
  <c r="J26" i="126"/>
  <c r="J14" i="126"/>
  <c r="J10" i="126"/>
  <c r="J33" i="126"/>
  <c r="J25" i="126"/>
  <c r="J13" i="126"/>
  <c r="J44" i="126"/>
  <c r="J39" i="126"/>
  <c r="J35" i="126"/>
  <c r="J31" i="126"/>
  <c r="J27" i="126"/>
  <c r="J23" i="126"/>
  <c r="J19" i="126"/>
  <c r="J15" i="126"/>
  <c r="J11" i="126"/>
  <c r="J7" i="126"/>
  <c r="J38" i="126"/>
  <c r="J30" i="126"/>
  <c r="J22" i="126"/>
  <c r="J18" i="126"/>
  <c r="J6" i="126"/>
  <c r="J37" i="126"/>
  <c r="J29" i="126"/>
  <c r="J21" i="126"/>
  <c r="J17" i="126"/>
  <c r="J9" i="126"/>
  <c r="J5" i="126"/>
  <c r="J46" i="126"/>
  <c r="J40" i="126"/>
  <c r="J36" i="126"/>
  <c r="J32" i="126"/>
  <c r="J28" i="126"/>
  <c r="J24" i="126"/>
  <c r="J20" i="126"/>
  <c r="J16" i="126"/>
  <c r="J12" i="126"/>
  <c r="J8" i="126"/>
  <c r="B50" i="6"/>
  <c r="J50" i="126"/>
  <c r="H3" i="126"/>
  <c r="I3" i="126" s="1"/>
  <c r="J49" i="126"/>
  <c r="J41" i="126"/>
  <c r="J48" i="126"/>
  <c r="J43" i="126"/>
  <c r="B74" i="6"/>
  <c r="E27" i="6"/>
  <c r="I47" i="126" l="1"/>
  <c r="J47" i="126" s="1"/>
  <c r="I52" i="126"/>
  <c r="J52" i="126" s="1"/>
  <c r="I51" i="126"/>
  <c r="J51" i="126" s="1"/>
  <c r="D62" i="6"/>
  <c r="C74" i="6" s="1"/>
  <c r="J3" i="126"/>
  <c r="C50" i="6" l="1"/>
  <c r="M83" i="60"/>
  <c r="M99" i="60"/>
  <c r="M57" i="60"/>
  <c r="M103" i="60"/>
  <c r="M102" i="60"/>
  <c r="M100" i="60"/>
  <c r="M101" i="60"/>
  <c r="M19" i="60" l="1"/>
  <c r="M18" i="60"/>
  <c r="M17" i="60"/>
  <c r="M14" i="60"/>
  <c r="M13" i="60"/>
  <c r="M10" i="60"/>
  <c r="M35" i="60"/>
  <c r="M31" i="60"/>
  <c r="M36" i="60"/>
  <c r="M49" i="60"/>
  <c r="M16" i="60"/>
  <c r="G24" i="60" l="1"/>
  <c r="B12" i="5"/>
  <c r="J117" i="60"/>
  <c r="K117" i="60"/>
  <c r="H104" i="60"/>
  <c r="H117" i="60" s="1"/>
  <c r="G104" i="60"/>
  <c r="G117" i="60" s="1"/>
  <c r="B11" i="5" s="1"/>
  <c r="K115" i="60"/>
  <c r="G78" i="60"/>
  <c r="G114" i="60" s="1"/>
  <c r="B9" i="5" s="1"/>
  <c r="H60" i="60"/>
  <c r="H113" i="60" s="1"/>
  <c r="G60" i="60"/>
  <c r="G113" i="60" s="1"/>
  <c r="B8" i="5" s="1"/>
  <c r="H51" i="60"/>
  <c r="H112" i="60" s="1"/>
  <c r="G51" i="60"/>
  <c r="G112" i="60" s="1"/>
  <c r="B7" i="5" s="1"/>
  <c r="K111" i="60"/>
  <c r="J111" i="60"/>
  <c r="I111" i="60"/>
  <c r="H111" i="60"/>
  <c r="G111" i="60"/>
  <c r="B6" i="5" s="1"/>
  <c r="G118" i="60" l="1"/>
  <c r="B3" i="5"/>
  <c r="C12" i="5"/>
  <c r="K113" i="60"/>
  <c r="K112" i="60"/>
  <c r="C8" i="5"/>
  <c r="C7" i="5"/>
  <c r="C11" i="5"/>
  <c r="C6" i="5"/>
  <c r="G109" i="60"/>
  <c r="B4" i="5" s="1"/>
  <c r="G110" i="60"/>
  <c r="B5" i="5" s="1"/>
  <c r="J118" i="60"/>
  <c r="M111" i="60"/>
  <c r="L111" i="60"/>
  <c r="D6" i="5" s="1"/>
  <c r="F6" i="5" s="1"/>
  <c r="M104" i="60"/>
  <c r="I117" i="60"/>
  <c r="J113" i="60" l="1"/>
  <c r="M117" i="60"/>
  <c r="L117" i="60"/>
  <c r="D11" i="5" s="1"/>
  <c r="F11" i="5" s="1"/>
  <c r="M12" i="60" l="1"/>
  <c r="K118" i="60" l="1"/>
  <c r="J110" i="60" l="1"/>
  <c r="B22" i="6" l="1"/>
  <c r="C22" i="6"/>
  <c r="D22" i="6"/>
  <c r="B23" i="6"/>
  <c r="C23" i="6"/>
  <c r="D23" i="6"/>
  <c r="B24" i="6"/>
  <c r="C24" i="6"/>
  <c r="D24" i="6"/>
  <c r="B25" i="6"/>
  <c r="C25" i="6"/>
  <c r="D25" i="6"/>
  <c r="B26" i="6"/>
  <c r="C26" i="6"/>
  <c r="D26" i="6"/>
  <c r="E32" i="6"/>
  <c r="E33" i="6"/>
  <c r="E34" i="6"/>
  <c r="E35" i="6"/>
  <c r="E36" i="6"/>
  <c r="B57" i="6"/>
  <c r="C57" i="6"/>
  <c r="C58" i="6"/>
  <c r="B59" i="6"/>
  <c r="C59" i="6"/>
  <c r="B60" i="6"/>
  <c r="C60" i="6"/>
  <c r="C61" i="6"/>
  <c r="B48" i="6" l="1"/>
  <c r="B47" i="6"/>
  <c r="B49" i="6"/>
  <c r="E25" i="6"/>
  <c r="D60" i="6" s="1"/>
  <c r="B69" i="6"/>
  <c r="B71" i="6"/>
  <c r="B45" i="6"/>
  <c r="B73" i="6"/>
  <c r="B72" i="6"/>
  <c r="E26" i="6"/>
  <c r="D61" i="6" s="1"/>
  <c r="E22" i="6"/>
  <c r="D57" i="6" s="1"/>
  <c r="E23" i="6"/>
  <c r="E24" i="6"/>
  <c r="D59" i="6" s="1"/>
  <c r="B70" i="6"/>
  <c r="B46" i="6"/>
  <c r="D58" i="6" l="1"/>
  <c r="C70" i="6" s="1"/>
  <c r="C73" i="6"/>
  <c r="C47" i="6"/>
  <c r="C71" i="6"/>
  <c r="C45" i="6"/>
  <c r="C69" i="6"/>
  <c r="C48" i="6"/>
  <c r="C72" i="6"/>
  <c r="H118" i="60"/>
  <c r="C49" i="6"/>
  <c r="C46" i="6" l="1"/>
  <c r="H38" i="60"/>
  <c r="H110" i="60" s="1"/>
  <c r="C5" i="5" s="1"/>
  <c r="H24" i="60"/>
  <c r="H109" i="60" s="1"/>
  <c r="C4" i="5" s="1"/>
  <c r="C3" i="5"/>
  <c r="M20" i="60" l="1"/>
  <c r="H89" i="60" l="1"/>
  <c r="H115" i="60" s="1"/>
  <c r="C10" i="5" s="1"/>
  <c r="M22" i="60"/>
  <c r="M21" i="60"/>
  <c r="K114" i="60"/>
  <c r="D12" i="5"/>
  <c r="F12" i="5" s="1"/>
  <c r="M76" i="60" l="1"/>
  <c r="M75" i="60"/>
  <c r="M87" i="60"/>
  <c r="K109" i="60" l="1"/>
  <c r="H78" i="60"/>
  <c r="H114" i="60" s="1"/>
  <c r="H120" i="60" s="1"/>
  <c r="I109" i="60"/>
  <c r="G89" i="60" l="1"/>
  <c r="G115" i="60" s="1"/>
  <c r="G120" i="60" s="1"/>
  <c r="M109" i="60"/>
  <c r="I112" i="60"/>
  <c r="M112" i="60" s="1"/>
  <c r="K110" i="60"/>
  <c r="K120" i="60" s="1"/>
  <c r="C9" i="5"/>
  <c r="C13" i="5" s="1"/>
  <c r="M118" i="60"/>
  <c r="L118" i="60"/>
  <c r="D3" i="5" s="1"/>
  <c r="M58" i="60"/>
  <c r="M34" i="60"/>
  <c r="J109" i="60"/>
  <c r="L109" i="60" s="1"/>
  <c r="I110" i="60"/>
  <c r="M33" i="60"/>
  <c r="I113" i="60"/>
  <c r="M32" i="60"/>
  <c r="I115" i="60"/>
  <c r="M56" i="60"/>
  <c r="I114" i="60" l="1"/>
  <c r="I120" i="60" s="1"/>
  <c r="B10" i="5"/>
  <c r="B13" i="5" s="1"/>
  <c r="M115" i="60"/>
  <c r="D4" i="5"/>
  <c r="F4" i="5" s="1"/>
  <c r="J112" i="60"/>
  <c r="L112" i="60" s="1"/>
  <c r="D7" i="5" s="1"/>
  <c r="F7" i="5" s="1"/>
  <c r="J114" i="60"/>
  <c r="M110" i="60"/>
  <c r="L110" i="60"/>
  <c r="D5" i="5" s="1"/>
  <c r="F5" i="5" s="1"/>
  <c r="M86" i="60"/>
  <c r="M74" i="60"/>
  <c r="J115" i="60"/>
  <c r="L115" i="60" s="1"/>
  <c r="D10" i="5" s="1"/>
  <c r="M69" i="60"/>
  <c r="M67" i="60"/>
  <c r="M30" i="60"/>
  <c r="M48" i="60"/>
  <c r="M68" i="60"/>
  <c r="M113" i="60"/>
  <c r="L113" i="60"/>
  <c r="D8" i="5" s="1"/>
  <c r="M70" i="60"/>
  <c r="M29" i="60"/>
  <c r="M71" i="60"/>
  <c r="M73" i="60"/>
  <c r="M114" i="60" l="1"/>
  <c r="M120" i="60" s="1"/>
  <c r="G126" i="60" s="1"/>
  <c r="F3" i="5"/>
  <c r="L114" i="60"/>
  <c r="D9" i="5" s="1"/>
  <c r="D13" i="5" s="1"/>
  <c r="F10" i="5"/>
  <c r="M84" i="60"/>
  <c r="J120" i="60"/>
  <c r="M15" i="60"/>
  <c r="M24" i="60"/>
  <c r="M38" i="60"/>
  <c r="M47" i="60"/>
  <c r="M51" i="60" s="1"/>
  <c r="M55" i="60"/>
  <c r="M60" i="60" s="1"/>
  <c r="F8" i="5"/>
  <c r="M85" i="60"/>
  <c r="M66" i="60"/>
  <c r="M78" i="60" s="1"/>
  <c r="F9" i="5" l="1"/>
  <c r="E12" i="5"/>
  <c r="B3" i="6" s="1"/>
  <c r="E8" i="5"/>
  <c r="B9" i="6" s="1"/>
  <c r="E9" i="5"/>
  <c r="B8" i="6" s="1"/>
  <c r="E11" i="5"/>
  <c r="E5" i="5"/>
  <c r="B5" i="6" s="1"/>
  <c r="E4" i="5"/>
  <c r="B6" i="6" s="1"/>
  <c r="M89" i="60"/>
  <c r="G124" i="60" l="1"/>
  <c r="E7" i="5"/>
  <c r="B10" i="6" s="1"/>
  <c r="E10" i="5"/>
  <c r="B11" i="6" s="1"/>
  <c r="E6" i="5"/>
  <c r="B4" i="6" s="1"/>
  <c r="E3" i="5"/>
  <c r="E13" i="5" l="1"/>
  <c r="B7" i="6"/>
  <c r="B12" i="6"/>
  <c r="F13" i="5"/>
  <c r="G5" i="5" l="1"/>
  <c r="C5" i="6" s="1"/>
  <c r="G11" i="5" l="1"/>
  <c r="G9" i="5"/>
  <c r="C8" i="6" s="1"/>
  <c r="G6" i="5"/>
  <c r="C4" i="6" s="1"/>
  <c r="G3" i="5"/>
  <c r="G8" i="5"/>
  <c r="C9" i="6" s="1"/>
  <c r="G4" i="5"/>
  <c r="C6" i="6" s="1"/>
  <c r="G12" i="5"/>
  <c r="C3" i="6" s="1"/>
  <c r="G10" i="5"/>
  <c r="C11" i="6" s="1"/>
  <c r="G7" i="5"/>
  <c r="C10" i="6" s="1"/>
  <c r="G13" i="5" l="1"/>
  <c r="D31" i="6"/>
  <c r="E31" i="6" s="1"/>
  <c r="D66" i="6" s="1"/>
  <c r="C54" i="6" s="1"/>
  <c r="E41" i="6"/>
  <c r="H4" i="126"/>
  <c r="I4" i="126" s="1"/>
  <c r="C7" i="6"/>
  <c r="C12" i="6" s="1"/>
  <c r="H56" i="126" l="1"/>
  <c r="C78" i="6"/>
  <c r="I56" i="126" l="1"/>
  <c r="J56" i="126" s="1"/>
  <c r="J4" i="126"/>
  <c r="I58" i="126" s="1"/>
</calcChain>
</file>

<file path=xl/sharedStrings.xml><?xml version="1.0" encoding="utf-8"?>
<sst xmlns="http://schemas.openxmlformats.org/spreadsheetml/2006/main" count="14876" uniqueCount="864">
  <si>
    <t>GENERAL INFORMATION</t>
  </si>
  <si>
    <t>Contact Person:</t>
  </si>
  <si>
    <t>Contact Number:</t>
  </si>
  <si>
    <t>HSCRC Hospital ID #:</t>
  </si>
  <si>
    <t># of Employees:</t>
  </si>
  <si>
    <t>Screenings</t>
  </si>
  <si>
    <t>Support Groups</t>
  </si>
  <si>
    <t>TOTAL</t>
  </si>
  <si>
    <t>COMMUNITY BENEFIT ACTIVITES</t>
  </si>
  <si>
    <t># OF STAFF HOURS</t>
  </si>
  <si>
    <t>Scholarships/Funding for Professional Education</t>
  </si>
  <si>
    <t>Other Health Professionals</t>
  </si>
  <si>
    <t>RESEARCH</t>
  </si>
  <si>
    <t>In-Kind Donations</t>
  </si>
  <si>
    <t>Economic Development</t>
  </si>
  <si>
    <t>FINANCIAL DATA</t>
  </si>
  <si>
    <t>OPERATING REVENUE</t>
  </si>
  <si>
    <t>Net Patient Service Revenue</t>
  </si>
  <si>
    <t>Other Revenue</t>
  </si>
  <si>
    <t>Total Revenue</t>
  </si>
  <si>
    <t>NET REVENUE (LOSS) FROM OPERATIONS</t>
  </si>
  <si>
    <t>NON-OPERATING GAINS (LOSSES)</t>
  </si>
  <si>
    <t>NET REVENUE (LOSS)</t>
  </si>
  <si>
    <t>FOUNDATION COMMUNITY BENEFIT</t>
  </si>
  <si>
    <t>Community Services</t>
  </si>
  <si>
    <t>Community Building</t>
  </si>
  <si>
    <t>TOTAL HOSPITAL COMMUNITY BENEFIT</t>
  </si>
  <si>
    <t>TOTAL FOUNDATION COMMUNITY BENEFIT</t>
  </si>
  <si>
    <t>% OF OPERATING EXPENSES</t>
  </si>
  <si>
    <t>DIRECT COST($)</t>
  </si>
  <si>
    <t>INDIRECT COST($)</t>
  </si>
  <si>
    <t>Physicians/Medical Students</t>
  </si>
  <si>
    <t>Contact Email:</t>
  </si>
  <si>
    <t>OFFSETTING REVENUE($)</t>
  </si>
  <si>
    <t>NET COMMUNITY BENEFIT</t>
  </si>
  <si>
    <t>INDIRECT COST RATIO</t>
  </si>
  <si>
    <t>TOTAL OPERATING EXPENSES</t>
  </si>
  <si>
    <t># OF ENCOUNTERS</t>
  </si>
  <si>
    <t>MISSION DRIVEN HEALTH SERVICES (please list)</t>
  </si>
  <si>
    <t>CHARITY CARE (report total only)</t>
  </si>
  <si>
    <t>Hospital Name:</t>
  </si>
  <si>
    <t>COMMUNITY HEALTH SERVICES</t>
  </si>
  <si>
    <t>Community Health Education</t>
  </si>
  <si>
    <t>Self-Help</t>
  </si>
  <si>
    <t>Community-Based Clinical Services</t>
  </si>
  <si>
    <t>One-Time/Occasionally Held Clinics</t>
  </si>
  <si>
    <t>Free Clinics</t>
  </si>
  <si>
    <t>Mobile Units</t>
  </si>
  <si>
    <t>Health Care Support Services</t>
  </si>
  <si>
    <t>HEALTH PROFESSIONS EDUCATION</t>
  </si>
  <si>
    <t>Nurses/Nursing Students</t>
  </si>
  <si>
    <t>C10</t>
  </si>
  <si>
    <t>Clinical Research</t>
  </si>
  <si>
    <t>Community Health Research</t>
  </si>
  <si>
    <t>Cash Donations</t>
  </si>
  <si>
    <t>Grants</t>
  </si>
  <si>
    <t>Cost of Fund Raising for Community Programs</t>
  </si>
  <si>
    <t>COMMUNITY BUILDING ACTIVITIES</t>
  </si>
  <si>
    <t>Environmental Improvements</t>
  </si>
  <si>
    <t>Leadership Development/Training for Community Members</t>
  </si>
  <si>
    <t>Coalition Building</t>
  </si>
  <si>
    <t>Community Benefit Operations</t>
  </si>
  <si>
    <t>Community health/health assets assessments</t>
  </si>
  <si>
    <t>COMMUNITY BENEFIT OPERATIONS</t>
  </si>
  <si>
    <t>Community Health Services</t>
  </si>
  <si>
    <t>Health Professions Education</t>
  </si>
  <si>
    <t>Mission Driven Health Care Services</t>
  </si>
  <si>
    <t>Research</t>
  </si>
  <si>
    <t>Financial Contributions</t>
  </si>
  <si>
    <t>Community Building Activities</t>
  </si>
  <si>
    <t>Charity Care</t>
  </si>
  <si>
    <t>Foundation Funded Community Benefit</t>
  </si>
  <si>
    <t>% of NET REVENUE</t>
  </si>
  <si>
    <t>N/A</t>
  </si>
  <si>
    <t>A00.</t>
  </si>
  <si>
    <t>A10</t>
  </si>
  <si>
    <t>A11</t>
  </si>
  <si>
    <t>A12</t>
  </si>
  <si>
    <t>A20</t>
  </si>
  <si>
    <t>A21</t>
  </si>
  <si>
    <t>A22</t>
  </si>
  <si>
    <t>A23</t>
  </si>
  <si>
    <t>A24</t>
  </si>
  <si>
    <t>A30</t>
  </si>
  <si>
    <t>A40</t>
  </si>
  <si>
    <t xml:space="preserve"> </t>
  </si>
  <si>
    <t>B00</t>
  </si>
  <si>
    <t>B10</t>
  </si>
  <si>
    <t>B20</t>
  </si>
  <si>
    <t>B30</t>
  </si>
  <si>
    <t>B40</t>
  </si>
  <si>
    <t>B50</t>
  </si>
  <si>
    <t>C00</t>
  </si>
  <si>
    <t>C20</t>
  </si>
  <si>
    <t>C30</t>
  </si>
  <si>
    <t>C40</t>
  </si>
  <si>
    <t>C50</t>
  </si>
  <si>
    <t>C60</t>
  </si>
  <si>
    <t>C70</t>
  </si>
  <si>
    <t>C80</t>
  </si>
  <si>
    <t>C90</t>
  </si>
  <si>
    <t>C91</t>
  </si>
  <si>
    <t>D00</t>
  </si>
  <si>
    <t>D10</t>
  </si>
  <si>
    <t>D20</t>
  </si>
  <si>
    <t>E00</t>
  </si>
  <si>
    <t>Cash and In-Kind Contributions</t>
  </si>
  <si>
    <t>E10</t>
  </si>
  <si>
    <t>E20</t>
  </si>
  <si>
    <t>E30</t>
  </si>
  <si>
    <t>E40</t>
  </si>
  <si>
    <t>F00</t>
  </si>
  <si>
    <t>F10</t>
  </si>
  <si>
    <t>Physical Improvements and Housing</t>
  </si>
  <si>
    <t>F20</t>
  </si>
  <si>
    <t>F30</t>
  </si>
  <si>
    <t>Community Support</t>
  </si>
  <si>
    <t>F40</t>
  </si>
  <si>
    <t>F50</t>
  </si>
  <si>
    <t>F60</t>
  </si>
  <si>
    <t>F70</t>
  </si>
  <si>
    <t>Advocacy for Community Health Improvements</t>
  </si>
  <si>
    <t>F80</t>
  </si>
  <si>
    <t>Workforce Development</t>
  </si>
  <si>
    <t>F90</t>
  </si>
  <si>
    <t>F91</t>
  </si>
  <si>
    <t>F92</t>
  </si>
  <si>
    <t>G31</t>
  </si>
  <si>
    <t>G30</t>
  </si>
  <si>
    <t>G32</t>
  </si>
  <si>
    <t>G00</t>
  </si>
  <si>
    <t>G10</t>
  </si>
  <si>
    <t>G20</t>
  </si>
  <si>
    <t>A41</t>
  </si>
  <si>
    <t>A42</t>
  </si>
  <si>
    <t>A43</t>
  </si>
  <si>
    <t>A44</t>
  </si>
  <si>
    <t>A99</t>
  </si>
  <si>
    <t>Total Community Health Services</t>
  </si>
  <si>
    <t>B51</t>
  </si>
  <si>
    <t>B52</t>
  </si>
  <si>
    <t>B53</t>
  </si>
  <si>
    <t>B99</t>
  </si>
  <si>
    <t>Total Health Professions Education</t>
  </si>
  <si>
    <t>C99</t>
  </si>
  <si>
    <t>Total Mission Driven Health Services</t>
  </si>
  <si>
    <t>D99</t>
  </si>
  <si>
    <t>Total Research</t>
  </si>
  <si>
    <t>E99</t>
  </si>
  <si>
    <t>Total Cash and In-Kind Contributions</t>
  </si>
  <si>
    <t>F99</t>
  </si>
  <si>
    <t>Total Community Building Activities</t>
  </si>
  <si>
    <t>Assigned Staff</t>
  </si>
  <si>
    <t>G99</t>
  </si>
  <si>
    <t>Total Community Benefit Operations</t>
  </si>
  <si>
    <t>H99</t>
  </si>
  <si>
    <t>H00</t>
  </si>
  <si>
    <t>J00</t>
  </si>
  <si>
    <t>J10</t>
  </si>
  <si>
    <t>J20</t>
  </si>
  <si>
    <t>J30</t>
  </si>
  <si>
    <t>J31</t>
  </si>
  <si>
    <t>J32</t>
  </si>
  <si>
    <t>J99</t>
  </si>
  <si>
    <t>Total Charity Care</t>
  </si>
  <si>
    <t>K99</t>
  </si>
  <si>
    <t>K00</t>
  </si>
  <si>
    <t>S99</t>
  </si>
  <si>
    <t>U99</t>
  </si>
  <si>
    <t>V99</t>
  </si>
  <si>
    <t>I00</t>
  </si>
  <si>
    <t>I10</t>
  </si>
  <si>
    <t>I20</t>
  </si>
  <si>
    <t>I30</t>
  </si>
  <si>
    <t>I40</t>
  </si>
  <si>
    <t>I50</t>
  </si>
  <si>
    <t>I60</t>
  </si>
  <si>
    <t>I70</t>
  </si>
  <si>
    <t>D30</t>
  </si>
  <si>
    <t>D31</t>
  </si>
  <si>
    <t>D32</t>
  </si>
  <si>
    <t>UNREIMBURSED MEDICAID COST</t>
  </si>
  <si>
    <t>Medicaid Costs</t>
  </si>
  <si>
    <t>Medicaid Assessments</t>
  </si>
  <si>
    <t>T00</t>
  </si>
  <si>
    <t>T99</t>
  </si>
  <si>
    <t>Medicaid Assesments</t>
  </si>
  <si>
    <t>Hospital Based Physicians</t>
  </si>
  <si>
    <t>Non-Residential House Staff and Hospitalists</t>
  </si>
  <si>
    <t>Coverage of ED On Call</t>
  </si>
  <si>
    <t>Physician Provision of Financial Assistance</t>
  </si>
  <si>
    <t>Recruitment of Physicians to Meet Community Needs</t>
  </si>
  <si>
    <t>Fundraising support</t>
  </si>
  <si>
    <t>Immunizations</t>
  </si>
  <si>
    <t>Meritus Medical Center</t>
  </si>
  <si>
    <t>Total</t>
  </si>
  <si>
    <t>Hospital</t>
  </si>
  <si>
    <t>Hospital Name</t>
  </si>
  <si>
    <t>Levindale</t>
  </si>
  <si>
    <t>Sheppard Pratt</t>
  </si>
  <si>
    <t>DME</t>
  </si>
  <si>
    <t>Community Benefit Category</t>
  </si>
  <si>
    <t>Number of Staff Hours</t>
  </si>
  <si>
    <t>Number of Encounters</t>
  </si>
  <si>
    <t>Net Community Benefit Expense</t>
  </si>
  <si>
    <t>Percent of Total CB Expenditures</t>
  </si>
  <si>
    <t>Net Community Benefit Expense Less: Rate Support</t>
  </si>
  <si>
    <t>Percent of Total CB Expenditures w/o Rate Support</t>
  </si>
  <si>
    <t>Unreimbursed Medicaid Cost</t>
  </si>
  <si>
    <t>Health Professions Education *</t>
  </si>
  <si>
    <t>Mission Driven Health Services</t>
  </si>
  <si>
    <t>Foundation</t>
  </si>
  <si>
    <t>% of Operating Expense</t>
  </si>
  <si>
    <t>Fiscal Year</t>
  </si>
  <si>
    <t>Net Community Benefit</t>
  </si>
  <si>
    <t>Offsetting Revenue</t>
  </si>
  <si>
    <t>Total Operating Expenses</t>
  </si>
  <si>
    <t>CB Expense Less Rate Support</t>
  </si>
  <si>
    <t>CB Expense</t>
  </si>
  <si>
    <t>NSP (1)</t>
  </si>
  <si>
    <t>Category</t>
  </si>
  <si>
    <t>Total Hospital Operating Expense</t>
  </si>
  <si>
    <t>Total CB as % of Total Operating Expense</t>
  </si>
  <si>
    <t>Total Net CB(minus charity Care, DME, NSPI in Rates) as % of Operating Expense</t>
  </si>
  <si>
    <t>CB Reported Charity Care</t>
  </si>
  <si>
    <t>Totals</t>
  </si>
  <si>
    <t>Holy Cross Hospital</t>
  </si>
  <si>
    <t>Suburban Hospital</t>
  </si>
  <si>
    <t>Western Maryland Health System</t>
  </si>
  <si>
    <t>Johns Hopkins Bayview Medical Center</t>
  </si>
  <si>
    <t>Union Hospital of Cecil County</t>
  </si>
  <si>
    <t>MedStar Harbor Hospital</t>
  </si>
  <si>
    <t>Fort Washington Medical Center</t>
  </si>
  <si>
    <t>Other</t>
  </si>
  <si>
    <t xml:space="preserve">Washington Adventist Hospital </t>
  </si>
  <si>
    <t>Bob Reilly</t>
  </si>
  <si>
    <t>443-481-1308</t>
  </si>
  <si>
    <t>Pharmacy Assistance Program</t>
  </si>
  <si>
    <t>Pathways</t>
  </si>
  <si>
    <t>Anne Arundel Diagnostics</t>
  </si>
  <si>
    <t>C92</t>
  </si>
  <si>
    <t>Patient Family Centered Care Initiative</t>
  </si>
  <si>
    <t>Atlantic General Hospital</t>
  </si>
  <si>
    <t>Bruce Todd</t>
  </si>
  <si>
    <t>mtodd@atlanticgeneral.org</t>
  </si>
  <si>
    <t>410-362-4487</t>
  </si>
  <si>
    <t>B1</t>
  </si>
  <si>
    <t>B2</t>
  </si>
  <si>
    <t>B3</t>
  </si>
  <si>
    <t>B4</t>
  </si>
  <si>
    <t>Transportation</t>
  </si>
  <si>
    <t>D1</t>
  </si>
  <si>
    <t>D2</t>
  </si>
  <si>
    <t>E1</t>
  </si>
  <si>
    <t>E2</t>
  </si>
  <si>
    <t>E3</t>
  </si>
  <si>
    <t>E4</t>
  </si>
  <si>
    <t>F1</t>
  </si>
  <si>
    <t>F2</t>
  </si>
  <si>
    <t>F3</t>
  </si>
  <si>
    <t>F4</t>
  </si>
  <si>
    <t>F5</t>
  </si>
  <si>
    <t>F6</t>
  </si>
  <si>
    <t>F7</t>
  </si>
  <si>
    <t>F8</t>
  </si>
  <si>
    <t>G1</t>
  </si>
  <si>
    <t>G2</t>
  </si>
  <si>
    <t>J1</t>
  </si>
  <si>
    <t>J2</t>
  </si>
  <si>
    <t>Margaret Fowler</t>
  </si>
  <si>
    <t>21-0033</t>
  </si>
  <si>
    <t>Selena Brewer</t>
  </si>
  <si>
    <t>410-871-7251</t>
  </si>
  <si>
    <t>sbrewer@CarrollHospitalCenter.org</t>
  </si>
  <si>
    <t>Interpreter Services</t>
  </si>
  <si>
    <t>Forensic Nurse Examiner Program</t>
  </si>
  <si>
    <t>Job Shadow</t>
  </si>
  <si>
    <t>Access Carroll - free medical practice</t>
  </si>
  <si>
    <t>Physician Support</t>
  </si>
  <si>
    <t>Physician Recruitment</t>
  </si>
  <si>
    <t>21-0051</t>
  </si>
  <si>
    <t>301-552-8601</t>
  </si>
  <si>
    <t>240-566-3320</t>
  </si>
  <si>
    <t>301-754-7149</t>
  </si>
  <si>
    <t>mcbrik@holycrosshealth.org</t>
  </si>
  <si>
    <t>Howard County General Hospital</t>
  </si>
  <si>
    <t>21-0048</t>
  </si>
  <si>
    <t>Fran Moll</t>
  </si>
  <si>
    <t>443-997-0627</t>
  </si>
  <si>
    <t>fmoll1@jhmi.edu</t>
  </si>
  <si>
    <t>0029</t>
  </si>
  <si>
    <t>Patricia Carroll or Kim Moeller</t>
  </si>
  <si>
    <t>410-550-0289 or 443-997-0639</t>
  </si>
  <si>
    <t>pcarroll@jhmi.edu or kmoelle@jhmi.edu</t>
  </si>
  <si>
    <t xml:space="preserve">Trauma on-call </t>
  </si>
  <si>
    <t>Emergency Medicine on-call</t>
  </si>
  <si>
    <t>Teaching Community Education</t>
  </si>
  <si>
    <t>Health Education &amp; Social Services</t>
  </si>
  <si>
    <t>Other On-call Coverage</t>
  </si>
  <si>
    <t>Health Leads</t>
  </si>
  <si>
    <t>Cancer Registry</t>
  </si>
  <si>
    <t>The Johns Hopkins Hospital</t>
  </si>
  <si>
    <t>0009</t>
  </si>
  <si>
    <t>Sharon Tiebert-Maddox</t>
  </si>
  <si>
    <t>443-287-9900</t>
  </si>
  <si>
    <t>tiebert@jhu.edu</t>
  </si>
  <si>
    <t>Communiity Health Services - Other</t>
  </si>
  <si>
    <t>Health Professions  Education - Other</t>
  </si>
  <si>
    <t>Broadway Center IOP/OP Grant</t>
  </si>
  <si>
    <t>Wilson House</t>
  </si>
  <si>
    <t>Eating Disorders Day Hospital Supportive Housing</t>
  </si>
  <si>
    <t>Schizophrenia Day Hospital Housing</t>
  </si>
  <si>
    <t>Supportive Housing for Male Substance Abuse Patients</t>
  </si>
  <si>
    <t>Pain Treatment Day Hospital Housing</t>
  </si>
  <si>
    <t>Mission Driven - Other</t>
  </si>
  <si>
    <t>Community Building Activities - Other</t>
  </si>
  <si>
    <t>Office Expense</t>
  </si>
  <si>
    <t>michael.jacobs@dimensionshealth.org</t>
  </si>
  <si>
    <t>Anesthesia services to the community</t>
  </si>
  <si>
    <t>OB/GYN services to the community</t>
  </si>
  <si>
    <t>Psychiatric services to the community</t>
  </si>
  <si>
    <t>Julie Sessa</t>
  </si>
  <si>
    <t>410-601-7238</t>
  </si>
  <si>
    <t>jsessa@lifebridgehealth.org</t>
  </si>
  <si>
    <t>Emergency and Trauma Services</t>
  </si>
  <si>
    <t>Hospital Outpatient Services</t>
  </si>
  <si>
    <t>Women's and Children's Services</t>
  </si>
  <si>
    <t>Other Resources</t>
  </si>
  <si>
    <t>G3</t>
  </si>
  <si>
    <t>D3</t>
  </si>
  <si>
    <t>F9</t>
  </si>
  <si>
    <t>G4</t>
  </si>
  <si>
    <t>G5</t>
  </si>
  <si>
    <t>Subsidized Continuing Care</t>
  </si>
  <si>
    <t>Renal Dialysis Services</t>
  </si>
  <si>
    <t>#0008</t>
  </si>
  <si>
    <t>Justin Deibel</t>
  </si>
  <si>
    <t>jdeibel@mdmercy.com</t>
  </si>
  <si>
    <t>Physician Charity Care</t>
  </si>
  <si>
    <t>Healthcare for the Homeless</t>
  </si>
  <si>
    <t>The Medication Assistance Center</t>
  </si>
  <si>
    <t>Hospital Owned Psychiatric Practice</t>
  </si>
  <si>
    <t>Mt. Washington Pediatric Hospital</t>
  </si>
  <si>
    <t>Weigh Smart Childhood Obesity Program</t>
  </si>
  <si>
    <t>Anesthesia</t>
  </si>
  <si>
    <t>Hospitalists</t>
  </si>
  <si>
    <t>Trauma On-Call</t>
  </si>
  <si>
    <t>Intensive Care services to the community</t>
  </si>
  <si>
    <t>Cardiology services to the community</t>
  </si>
  <si>
    <t>West Baltimore Care (Health Enterprise Zone)</t>
  </si>
  <si>
    <t>Morrell Park</t>
  </si>
  <si>
    <t>Community Care Center</t>
  </si>
  <si>
    <t>Physician Emergency Department Indigent Care Subsidies</t>
  </si>
  <si>
    <t>Telepsychiatry</t>
  </si>
  <si>
    <t>Physician Subsidies</t>
  </si>
  <si>
    <t>Therapy Referral Service</t>
  </si>
  <si>
    <t>Crisis Walk In Clinic</t>
  </si>
  <si>
    <t xml:space="preserve">Shore Regional Health Easton </t>
  </si>
  <si>
    <t xml:space="preserve">410 822 1000 </t>
  </si>
  <si>
    <t>Physician Recruitment Professional Services Development</t>
  </si>
  <si>
    <t>Physician On Call Coverage</t>
  </si>
  <si>
    <t>DGH Anesthesia Subsidy</t>
  </si>
  <si>
    <t>DGH Emergency Room Subsidy</t>
  </si>
  <si>
    <t>Shore Regional Health Chester River</t>
  </si>
  <si>
    <t>Hospitalist Program</t>
  </si>
  <si>
    <t>Emergency Physician Coverage</t>
  </si>
  <si>
    <t>Physician On Call</t>
  </si>
  <si>
    <t>Anesthesiolgy</t>
  </si>
  <si>
    <t>Primary Care</t>
  </si>
  <si>
    <t>Radiology</t>
  </si>
  <si>
    <t>21-0022</t>
  </si>
  <si>
    <t>Monique Sanfuentes</t>
  </si>
  <si>
    <t>301-896-3572</t>
  </si>
  <si>
    <t>Readmissions Prevention Program</t>
  </si>
  <si>
    <t>Physician Subsidy</t>
  </si>
  <si>
    <t>0038</t>
  </si>
  <si>
    <t>University of Maryland St. Joseph Medical Center</t>
  </si>
  <si>
    <t>Specialty Care</t>
  </si>
  <si>
    <t>Emergency Dept</t>
  </si>
  <si>
    <t>Mental Health</t>
  </si>
  <si>
    <t>OB/GYN</t>
  </si>
  <si>
    <t>Lab</t>
  </si>
  <si>
    <t>Non-Resident House Staff</t>
  </si>
  <si>
    <t>UNIVERSITY OF MARYLAND MEDICAL CENTER</t>
  </si>
  <si>
    <t>0002, 8992, 8994</t>
  </si>
  <si>
    <t>ALICIA CUNNINGHAM</t>
  </si>
  <si>
    <t>410-328-1380</t>
  </si>
  <si>
    <t>ACUNNINGHAM@UMM.EDU</t>
  </si>
  <si>
    <t>UNIVERSITY CARE COMMUNITY CLINICS/UCARE</t>
  </si>
  <si>
    <t>COMMUNITY OUTPATIENT PSYCHIATRIC CLINICS</t>
  </si>
  <si>
    <t>Palliative Care</t>
  </si>
  <si>
    <t>240-964-8032</t>
  </si>
  <si>
    <t>Psychiatric Physician Practice</t>
  </si>
  <si>
    <t>Obstetric Physician Practice</t>
  </si>
  <si>
    <t>Primary Care Physician Practices</t>
  </si>
  <si>
    <t>Outpatient Dialysis and Peritoneal Dialysis</t>
  </si>
  <si>
    <t>Net Community Benefit W/Indirect Cost</t>
  </si>
  <si>
    <t>Net Community Benefit W/O Indirect Cost</t>
  </si>
  <si>
    <t>Direct Cost ($)</t>
  </si>
  <si>
    <t>Indirect Cost ($)</t>
  </si>
  <si>
    <t>B.</t>
  </si>
  <si>
    <t>C.</t>
  </si>
  <si>
    <t>MISSION DRIVEN HEALTH SERVICES</t>
  </si>
  <si>
    <t>D.</t>
  </si>
  <si>
    <t>E.</t>
  </si>
  <si>
    <t>F.</t>
  </si>
  <si>
    <t>Physical Improvements/Housing</t>
  </si>
  <si>
    <t>Support System Enhancements</t>
  </si>
  <si>
    <t>Community Health Improvement Advocacy</t>
  </si>
  <si>
    <t>Workforce Enhancement</t>
  </si>
  <si>
    <t>F11</t>
  </si>
  <si>
    <t>G.</t>
  </si>
  <si>
    <t>Dedicated Staff</t>
  </si>
  <si>
    <t>H.</t>
  </si>
  <si>
    <t>J.</t>
  </si>
  <si>
    <t>K</t>
  </si>
  <si>
    <t>A</t>
  </si>
  <si>
    <t>B</t>
  </si>
  <si>
    <t>C</t>
  </si>
  <si>
    <t>D</t>
  </si>
  <si>
    <t>E</t>
  </si>
  <si>
    <t>F</t>
  </si>
  <si>
    <t>G</t>
  </si>
  <si>
    <t>H</t>
  </si>
  <si>
    <t>J</t>
  </si>
  <si>
    <t>TOTAL OPERATING EXPENSE</t>
  </si>
  <si>
    <t>% OF OPERATING EXPENSES W/IC</t>
  </si>
  <si>
    <t>% OF OPERATING EXPENSES W/O IC</t>
  </si>
  <si>
    <t>J3</t>
  </si>
  <si>
    <t>J4</t>
  </si>
  <si>
    <t>J5</t>
  </si>
  <si>
    <t>Total Rate Support</t>
  </si>
  <si>
    <t>Total operating Expense</t>
  </si>
  <si>
    <t>* Rate supported expenditures</t>
  </si>
  <si>
    <t>Net Benefit less rate support</t>
  </si>
  <si>
    <t>Adventist Behavioral Health Rockville*</t>
  </si>
  <si>
    <t>Charts based on All Hospitals</t>
  </si>
  <si>
    <t>allen.twigg@meritushealth.com</t>
  </si>
  <si>
    <t>301-790-8263</t>
  </si>
  <si>
    <t>Mid-Level Providers</t>
  </si>
  <si>
    <t>Blood Drives</t>
  </si>
  <si>
    <t>Dental Education</t>
  </si>
  <si>
    <t>443 643-3346</t>
  </si>
  <si>
    <t>UMD Harford Memorial Hospital Anesthesiology Physician subsidies</t>
  </si>
  <si>
    <t>Saint Agnes</t>
  </si>
  <si>
    <t>Mitch Lomax</t>
  </si>
  <si>
    <t>Kimberly Thomas</t>
  </si>
  <si>
    <t>MedStar Franklin Square Medical Center</t>
  </si>
  <si>
    <t>GARRETT REGIONAL MEDICAL CENTER</t>
  </si>
  <si>
    <t xml:space="preserve">MedStar Montgomery Medical Center </t>
  </si>
  <si>
    <t>Peninsula Regional Medical Center</t>
  </si>
  <si>
    <t>C93</t>
  </si>
  <si>
    <t>MedStar Union Memorial Hospital</t>
  </si>
  <si>
    <t>Women and Children</t>
  </si>
  <si>
    <t>Behavioral Health</t>
  </si>
  <si>
    <t>ACHI and CBISA</t>
  </si>
  <si>
    <t>(443) 674-1290</t>
  </si>
  <si>
    <t>Carroll Hospital</t>
  </si>
  <si>
    <t>Behavorial Health Services</t>
  </si>
  <si>
    <t>MedStar Good Samaritan Hospital</t>
  </si>
  <si>
    <t>Physician/Coverage Subsidy - Hospitalists and Primary care</t>
  </si>
  <si>
    <t>Levindale Hebrew and Geriatric Center and Hospital</t>
  </si>
  <si>
    <t>Enrollment for Entitlements</t>
  </si>
  <si>
    <t>Free Transportation for Clinical Services</t>
  </si>
  <si>
    <t>Free Discharge Medications</t>
  </si>
  <si>
    <t>Professional Education</t>
  </si>
  <si>
    <t>Crisis Referral Outpatient Program</t>
  </si>
  <si>
    <t>Holy Cross Germantown Hospital</t>
  </si>
  <si>
    <t>Physicians on call</t>
  </si>
  <si>
    <t>Clinics services to the community</t>
  </si>
  <si>
    <t>Other services to the community</t>
  </si>
  <si>
    <t>C96</t>
  </si>
  <si>
    <t>Hospital Based Physicians (includes Hospitalist, intensivists, cardiac surgeons)</t>
  </si>
  <si>
    <t>Adventist HealthCare: Shady Grove Medical Center</t>
  </si>
  <si>
    <t>Adventist HealthCare: Behavioral Health and Wellness - Rockville</t>
  </si>
  <si>
    <t>NSP I</t>
  </si>
  <si>
    <t>Charity Care*</t>
  </si>
  <si>
    <t>All Hospitals</t>
  </si>
  <si>
    <t>Hospitalist Subsidy</t>
  </si>
  <si>
    <t>Community benefit analytics</t>
  </si>
  <si>
    <t>Prescription Pharmacy Programs</t>
  </si>
  <si>
    <t>21-00005</t>
  </si>
  <si>
    <t>PHYSICIAN HOSPITALIST</t>
  </si>
  <si>
    <t>PHYSICIAN ED/SURGEON CALL</t>
  </si>
  <si>
    <t>PHYSICIAN ANESTHESIA CALL</t>
  </si>
  <si>
    <t>PHYSICIAN INTENSIVIST</t>
  </si>
  <si>
    <t>PHYSICIAN INTERVENTIONAL CARDIOLOGY</t>
  </si>
  <si>
    <t>PRENATAL OB CENTER</t>
  </si>
  <si>
    <t>UMD Harford Memorial Hospital Emergency Department Physician subsidies</t>
  </si>
  <si>
    <t>OB Coverage</t>
  </si>
  <si>
    <t>Psych Coverage</t>
  </si>
  <si>
    <t>SBIRT Program</t>
  </si>
  <si>
    <t>Teaching Support - Community Ed @ JHCP Locations</t>
  </si>
  <si>
    <t>Social Work Services @ JHCP Locations</t>
  </si>
  <si>
    <t>Shroe Regional Health Dorchester</t>
  </si>
  <si>
    <t>21-0011</t>
  </si>
  <si>
    <t>667-234-2926</t>
  </si>
  <si>
    <t>Hospital-based Physician Specialty Subsidies</t>
  </si>
  <si>
    <t>House Staff/Coverage Subsidies</t>
  </si>
  <si>
    <t>Primary Care Clinic on campus in West Baltimore</t>
  </si>
  <si>
    <t>Beth Kelly</t>
  </si>
  <si>
    <t>410-933-2815</t>
  </si>
  <si>
    <t>Beth.E.Kelly@medstar.net</t>
  </si>
  <si>
    <t>21-0017</t>
  </si>
  <si>
    <t>C12</t>
  </si>
  <si>
    <t>Other Research</t>
  </si>
  <si>
    <t>C5</t>
  </si>
  <si>
    <t>C6</t>
  </si>
  <si>
    <t>Amber Ruble</t>
  </si>
  <si>
    <t xml:space="preserve">Kathleen McGrath </t>
  </si>
  <si>
    <t>Jean-Marie Kelly</t>
  </si>
  <si>
    <t>jkelly@uhcc.com</t>
  </si>
  <si>
    <t>Jermaine Page</t>
  </si>
  <si>
    <t>301-609-4498</t>
  </si>
  <si>
    <t>jermaine.page@umm.edu</t>
  </si>
  <si>
    <t>UNIVERSITY  OF MARYLAND  MEDICAL CENTER MIDTOWN CAMPUS</t>
  </si>
  <si>
    <t>410 414-4573</t>
  </si>
  <si>
    <t>Anesthesia Subsidy</t>
  </si>
  <si>
    <t>Greater Baltimore Medical Center</t>
  </si>
  <si>
    <t>Womens Services OB Clinic</t>
  </si>
  <si>
    <t>UMD UPPER CHESAPEAKE MEDICAL CENTER ANESTHESIOLOGY PHYSICIAN SUBSIDIES</t>
  </si>
  <si>
    <t>Social and Environmental Improvement Act</t>
  </si>
  <si>
    <t xml:space="preserve">Other  </t>
  </si>
  <si>
    <t>University of Maryland Rehabilitation &amp; Orthopaedic Institute</t>
  </si>
  <si>
    <t>Fundraising Support</t>
  </si>
  <si>
    <t>Adventist HealthCare: Rehabilitation</t>
  </si>
  <si>
    <t>Transitional Aftercare Program</t>
  </si>
  <si>
    <t xml:space="preserve">Charity Care </t>
  </si>
  <si>
    <t>Holy Cross</t>
  </si>
  <si>
    <t>Johns Hopkins</t>
  </si>
  <si>
    <t>% of Operating Expense less Rate Support</t>
  </si>
  <si>
    <t>Allen Twigg</t>
  </si>
  <si>
    <t>Community Health (CHEW, Diabetes Education, Safe Kids Program)</t>
  </si>
  <si>
    <t>Level III Trauma Program</t>
  </si>
  <si>
    <t>Hospice Voluntary Write-offs (Hospice of Washington County)</t>
  </si>
  <si>
    <t>Hospital Owned Endocrinology Practice</t>
  </si>
  <si>
    <t>Clinics for Underinsured and Uninsured</t>
  </si>
  <si>
    <t>Faith Community/Parish Nursing</t>
  </si>
  <si>
    <t>PHYSICIAN OB CALL/HOSPITALIST</t>
  </si>
  <si>
    <t>410-653-2905</t>
  </si>
  <si>
    <t>PA Charity Support</t>
  </si>
  <si>
    <t>Forensic Nurse Examiner</t>
  </si>
  <si>
    <t>CB Community Services @ JHCP Locations</t>
  </si>
  <si>
    <t>Kathleen McGrath</t>
  </si>
  <si>
    <t>kfmcgrath@umm.edu</t>
  </si>
  <si>
    <t>mlomax@ascension.org</t>
  </si>
  <si>
    <t>Health Care Access Maryland Care Management Program</t>
  </si>
  <si>
    <t>ER Subsidy</t>
  </si>
  <si>
    <t>Radiology Subsidy</t>
  </si>
  <si>
    <t>Bon Secours Baltimore Health System</t>
  </si>
  <si>
    <t>Primary Care Office - Salisbury Family Medicine</t>
  </si>
  <si>
    <t>C75</t>
  </si>
  <si>
    <t>CV Surgery</t>
  </si>
  <si>
    <t>Pulmonology</t>
  </si>
  <si>
    <t>Neurosurgery</t>
  </si>
  <si>
    <t>msanfuentes@jhmi.edu</t>
  </si>
  <si>
    <t>INDIRECT COST RATIO (Category A / F / G Only)</t>
  </si>
  <si>
    <t>INDIRECT COST RATIO (Category C and E-40 ONLY)</t>
  </si>
  <si>
    <t>Community Clinics</t>
  </si>
  <si>
    <t>Kent Island Urgent Care</t>
  </si>
  <si>
    <t>Physician Recruiting</t>
  </si>
  <si>
    <t>ED Physician Uncompensated Care</t>
  </si>
  <si>
    <t>Senior Leadership</t>
  </si>
  <si>
    <t>Prescripton Medication</t>
  </si>
  <si>
    <t>Organizationally Owned Urgent Care Centers- Frostburg and Hunt Club</t>
  </si>
  <si>
    <t>JHCP Community Services</t>
  </si>
  <si>
    <t>The Access Partnership (TAP)</t>
  </si>
  <si>
    <t xml:space="preserve">kfmcgrath@umm.edu </t>
  </si>
  <si>
    <t>Telehealth Services Behavorial Health / Palliittive Care</t>
  </si>
  <si>
    <t>410-328-1092</t>
  </si>
  <si>
    <t>Urgent Care Service Centers</t>
  </si>
  <si>
    <t>Health Care Clinic Services</t>
  </si>
  <si>
    <t>Hospital Emergency &amp; Behavioral Health Services</t>
  </si>
  <si>
    <t>Intensive Care Unit Call Coverage</t>
  </si>
  <si>
    <t>Other Ancillary Call Coverage Services</t>
  </si>
  <si>
    <t>Northwest Hospital Center, Inc.</t>
  </si>
  <si>
    <t>410-787-4491</t>
  </si>
  <si>
    <t>Meghan Chan</t>
  </si>
  <si>
    <t>443-849-2405</t>
  </si>
  <si>
    <t>mchan@gbmc.org</t>
  </si>
  <si>
    <t>Oncology Survivorship Program</t>
  </si>
  <si>
    <t>Physician services</t>
  </si>
  <si>
    <t>Smith Island Healthcare Initiative</t>
  </si>
  <si>
    <t>cohler@uchs.org</t>
  </si>
  <si>
    <t>UMD UPPER CHESAPEAKE MEDICAL CENTER EMERGENCY DEPT PHYSICIAN SUBSIDIES</t>
  </si>
  <si>
    <t xml:space="preserve">Doctors Community Hospital </t>
  </si>
  <si>
    <t>Mary P. Dudley</t>
  </si>
  <si>
    <t>301-686-9010</t>
  </si>
  <si>
    <t>Cynthia A. Kelleher</t>
  </si>
  <si>
    <t>410-448-6447</t>
  </si>
  <si>
    <t>ckelleher@umm.edu</t>
  </si>
  <si>
    <t xml:space="preserve">BIAM </t>
  </si>
  <si>
    <t>Sheppard Pratt Health System, Inc.</t>
  </si>
  <si>
    <t>Positive Behavioral Interventions</t>
  </si>
  <si>
    <t>Life Space Crisis Intervention Program</t>
  </si>
  <si>
    <t>Behavioral Observation Service</t>
  </si>
  <si>
    <t>Behavioral Health Integrated Care</t>
  </si>
  <si>
    <t xml:space="preserve">UNIVERSITY OF MARYLAND HARFORD MEMORIAL HOSPITAL </t>
  </si>
  <si>
    <t>UMD Harford Memorial Hospital Behavior Health Unit Physician subsidies</t>
  </si>
  <si>
    <t>FY 2017 Amount in Rates for Charity Care, DME, and NSPI*</t>
  </si>
  <si>
    <t>Hospital Number</t>
  </si>
  <si>
    <t>Hospital ID</t>
  </si>
  <si>
    <t>Direct Medical Education (DME)</t>
  </si>
  <si>
    <t>Nurse Support Program I (NSPI)</t>
  </si>
  <si>
    <t>Total Rate Support for Education</t>
  </si>
  <si>
    <t>Number of Employees</t>
  </si>
  <si>
    <t xml:space="preserve">Total Staff Hours for CB Operations </t>
  </si>
  <si>
    <t>Total Community Benefit Expense</t>
  </si>
  <si>
    <t xml:space="preserve">Total Net CB minus Charity Care, DME, NSPI in Rates </t>
  </si>
  <si>
    <t xml:space="preserve"> Charity Care *</t>
  </si>
  <si>
    <t xml:space="preserve">Net Community Benefit </t>
  </si>
  <si>
    <t xml:space="preserve"> * The Adventist Hospital System has requested and received permission to report their Community Benefit activities on a CY Basis.  This allows them to more acurately reflect their true activities during the Community Benefit Cycle.  The numbers listed in the 'FY 2017 Amount in Rates for Charity Care, DME, and NSPI' Column as well as the Medicaid Deficit Assessments  rom the Inventory spreadsheets reflect the Commission's activities for FY17 and therefore will be different from the numbers reported by the Adventist Hospitals.</t>
  </si>
  <si>
    <t>FY 2018 Data Collection Sheet</t>
  </si>
  <si>
    <t xml:space="preserve">Jacqueline Pourahmadi </t>
  </si>
  <si>
    <t>(301) 315-3271</t>
  </si>
  <si>
    <t>JPourahm@adventisthealthcare.com</t>
  </si>
  <si>
    <t>Board Community Involvement</t>
  </si>
  <si>
    <t xml:space="preserve">Anne Arundel Medical Center </t>
  </si>
  <si>
    <t xml:space="preserve">breilly@aahs.org </t>
  </si>
  <si>
    <t xml:space="preserve">Physician Community Services </t>
  </si>
  <si>
    <t xml:space="preserve">AAMC Subsidized Health Services </t>
  </si>
  <si>
    <t xml:space="preserve">My Chart Electronic Records </t>
  </si>
  <si>
    <t>410-251-4030</t>
  </si>
  <si>
    <t>Pallative Care</t>
  </si>
  <si>
    <t>SAFE Program</t>
  </si>
  <si>
    <t>Kimberly_Thomas@bshsi.org</t>
  </si>
  <si>
    <t>CalvertHealth Medical Center</t>
  </si>
  <si>
    <t>margaret.fowler@calverthealthmed.org</t>
  </si>
  <si>
    <t>Student Job Shadowing</t>
  </si>
  <si>
    <t>Outpatient Rehabilitation</t>
  </si>
  <si>
    <t>Transitional Care Unit</t>
  </si>
  <si>
    <t>Acute Care &amp; Pediatric Hospital Program</t>
  </si>
  <si>
    <t>Physician Subsidies Fulfilling Health Care</t>
  </si>
  <si>
    <t>Mdudley@DCHweb.org</t>
  </si>
  <si>
    <t xml:space="preserve">HCI Contract </t>
  </si>
  <si>
    <t>Fort Washington Medical Center Inc.</t>
  </si>
  <si>
    <t>Chantay Moye</t>
  </si>
  <si>
    <t>cmoye@nexushealth.org</t>
  </si>
  <si>
    <t>Diabetes Education &amp; Support Program</t>
  </si>
  <si>
    <t>HIV &amp; HEPATITIS-C Free Testing Program-Grant Supported</t>
  </si>
  <si>
    <t>Frederick Memorial Hospital Inc</t>
  </si>
  <si>
    <t>1964</t>
  </si>
  <si>
    <t>Hannah Jacobs</t>
  </si>
  <si>
    <t>hjacobs@fmh.org</t>
  </si>
  <si>
    <t>MENTAL HEALTH SERVICES OUTPATIENT</t>
  </si>
  <si>
    <t>SHANTELLE OLIVERIO</t>
  </si>
  <si>
    <t>301-533-4253</t>
  </si>
  <si>
    <t>soliverio@gcmh.com</t>
  </si>
  <si>
    <t>Indigent Drug Program</t>
  </si>
  <si>
    <t>Child Life Specialist</t>
  </si>
  <si>
    <t>Mike/Liz email</t>
  </si>
  <si>
    <t>Lynn Marie email</t>
  </si>
  <si>
    <t>Senior Outreach/Elder Medical Care</t>
  </si>
  <si>
    <t>100548 + encounters from D'Ambra + support our elders from HSCRC transformational grant</t>
  </si>
  <si>
    <t>ER SAFE Program</t>
  </si>
  <si>
    <t>100987 + encounters from Laura Clary</t>
  </si>
  <si>
    <t>100572 + encounters from Epic report</t>
  </si>
  <si>
    <t>Mike Stein email</t>
  </si>
  <si>
    <t>Mike Bjoro</t>
  </si>
  <si>
    <t>Oncology transportation program</t>
  </si>
  <si>
    <t>Brandon Constantino</t>
  </si>
  <si>
    <t>Oncology social work services</t>
  </si>
  <si>
    <t>Run GBMC</t>
  </si>
  <si>
    <t>Greg Shaffer</t>
  </si>
  <si>
    <t>cc 100561</t>
  </si>
  <si>
    <t>Cristo Rey</t>
  </si>
  <si>
    <t>100533 Non-lab exp less 541400</t>
  </si>
  <si>
    <t>Kimberley McBride</t>
  </si>
  <si>
    <t>Safety Net Clinics - Billing</t>
  </si>
  <si>
    <t>FY 2018 COMMUNITY BENEFIT INVENTORY SPREADSHEET</t>
  </si>
  <si>
    <t>SNFists Subsidy</t>
  </si>
  <si>
    <t>Behavioral Health Subsidy</t>
  </si>
  <si>
    <t xml:space="preserve">Sinai Hospital </t>
  </si>
  <si>
    <t>NICU/PICU Subsidy</t>
  </si>
  <si>
    <t>Hospital OP Services</t>
  </si>
  <si>
    <t>McCready Foundation, Inc dba McCready Health</t>
  </si>
  <si>
    <t>Camesha Spence</t>
  </si>
  <si>
    <t>410-968-9355</t>
  </si>
  <si>
    <t>cspence@mccreadyhealth.org</t>
  </si>
  <si>
    <t>McCready Car-a-Van</t>
  </si>
  <si>
    <t>Other - Baby to Remember / Pastoral Care Prayer Shawls</t>
  </si>
  <si>
    <t>Other - Hospitalists/Physician Assistants/Endocrinology</t>
  </si>
  <si>
    <t>Hospital Outpatient Services - Family Health</t>
  </si>
  <si>
    <t>Other - Pastoral Care Guest Preacher</t>
  </si>
  <si>
    <t>Other - Mileage Reimbursement</t>
  </si>
  <si>
    <t>Surgical PA</t>
  </si>
  <si>
    <t>Primary Care &amp; Hospitalists</t>
  </si>
  <si>
    <t>21-0018</t>
  </si>
  <si>
    <t xml:space="preserve">Women's and Children Services </t>
  </si>
  <si>
    <t xml:space="preserve">Subsidized Continuing Care </t>
  </si>
  <si>
    <t>MedStar Southern Maryland Hospital Center Inc</t>
  </si>
  <si>
    <t>beth.e.kelly@medstar.net</t>
  </si>
  <si>
    <t>Neonatal Intensive Care</t>
  </si>
  <si>
    <t>Behavioral Health Services</t>
  </si>
  <si>
    <t xml:space="preserve">MedStar St Mary's Hospital </t>
  </si>
  <si>
    <t>Women's and Childrens Health</t>
  </si>
  <si>
    <t>Behavorial health Services</t>
  </si>
  <si>
    <t>other resources</t>
  </si>
  <si>
    <t>Beth.e.Kelly@medstar.net</t>
  </si>
  <si>
    <t>Renal Dialysis</t>
  </si>
  <si>
    <t>Emergency</t>
  </si>
  <si>
    <t>Check</t>
  </si>
  <si>
    <t>Less Medicaid Assessments&amp; Charity</t>
  </si>
  <si>
    <t>Mercy Health Services, Inc</t>
  </si>
  <si>
    <t>Charity Prescription</t>
  </si>
  <si>
    <t>ED Physican</t>
  </si>
  <si>
    <t>Physician Charity Services</t>
  </si>
  <si>
    <t>Detox Program</t>
  </si>
  <si>
    <t>Dental Clinic Services</t>
  </si>
  <si>
    <t>Mworks</t>
  </si>
  <si>
    <t>Youth Works</t>
  </si>
  <si>
    <t xml:space="preserve">Community Board </t>
  </si>
  <si>
    <t>21-0001</t>
  </si>
  <si>
    <t>On-Call Fees for Emeregency Specialists</t>
  </si>
  <si>
    <t>School Nurse/School Wellness/School Summer Programs</t>
  </si>
  <si>
    <t>Rachana Patani</t>
  </si>
  <si>
    <t>410-578-5065</t>
  </si>
  <si>
    <t>Rachana.Patani@MWPH.org</t>
  </si>
  <si>
    <t>Michelle Middleton</t>
  </si>
  <si>
    <t>410-938-3507</t>
  </si>
  <si>
    <t>mmiddleton@sheppardpratt.org</t>
  </si>
  <si>
    <t>Smoking Cessation</t>
  </si>
  <si>
    <t>Harford Co Mobile Crisis, Stabiliation</t>
  </si>
  <si>
    <t>University of maryland Baltimore Washington Medical Center</t>
  </si>
  <si>
    <t>Laurie Fetterman, Manager, Strategic Planning</t>
  </si>
  <si>
    <t>laurie.fetterman@umm.edu</t>
  </si>
  <si>
    <t>C1 Emergency and Trauma Servcies - On Call, Anesthesia and SAFE Program</t>
  </si>
  <si>
    <t>Subsidized Continuing Care - Hospitalists and House Staff</t>
  </si>
  <si>
    <t>University Of Maryland Charles Regional Medical Center</t>
  </si>
  <si>
    <t xml:space="preserve">Other </t>
  </si>
  <si>
    <t>C01</t>
  </si>
  <si>
    <t>C05</t>
  </si>
  <si>
    <t>Women's and Children Services</t>
  </si>
  <si>
    <t xml:space="preserve">CURT OHLER </t>
  </si>
  <si>
    <t>Watch Groups</t>
  </si>
  <si>
    <t>Wheelchair Tennis Clinic</t>
  </si>
  <si>
    <t>Heart Walks</t>
  </si>
  <si>
    <t>21-0063</t>
  </si>
  <si>
    <t>Tumor Registry</t>
  </si>
  <si>
    <t xml:space="preserve">UNIVERSITY OF MARYLAND UPPER CHESAPEAKE MEDICAL CENTER </t>
  </si>
  <si>
    <t>Craig Fleischman</t>
  </si>
  <si>
    <t>1063 FTE, 1475 payroll headcount, 1566 w/contracted &amp; prn Carly Pernoy e-mail 11-2-18</t>
  </si>
  <si>
    <t>cfleisch@umm.edu</t>
  </si>
  <si>
    <t>Amanda Barboza e-mail 11-2/18</t>
  </si>
  <si>
    <t>Anne's spreadsheet and some of Denise Epps</t>
  </si>
  <si>
    <t>Anne's spreadsheet</t>
  </si>
  <si>
    <t>8160 Transportation indludes 782K from Crystal Fisher regarding Fred London etc.</t>
  </si>
  <si>
    <t>what about nursing home expenses</t>
  </si>
  <si>
    <t>8011 Cost Center, doc calculation</t>
  </si>
  <si>
    <t>Worksheet from Nursing</t>
  </si>
  <si>
    <t>Njoka e-mail Nov 12 4:01 PM Schwatka e-mail 11-12 3:50 pm</t>
  </si>
  <si>
    <t>Lisa Cook 8614 blood plus Jacques sq footage</t>
  </si>
  <si>
    <t xml:space="preserve">Anne's sheet </t>
  </si>
  <si>
    <t>Anne's sheet</t>
  </si>
  <si>
    <t>Donna Jacobs per Anne</t>
  </si>
  <si>
    <t>URGENT CARE</t>
  </si>
  <si>
    <t>Social and Environmental Improvements</t>
  </si>
  <si>
    <t>Community Service Activities</t>
  </si>
  <si>
    <t>Safe Nursing</t>
  </si>
  <si>
    <t>AntiThrombosis - ClinicS</t>
  </si>
  <si>
    <t xml:space="preserve">MHE Anesthesia Physician Subsidy </t>
  </si>
  <si>
    <t>MHE ER Physician Subsidy</t>
  </si>
  <si>
    <t>SMCE HOSPITALIST</t>
  </si>
  <si>
    <t>Medical Specialty</t>
  </si>
  <si>
    <t>Primary Care Physicians</t>
  </si>
  <si>
    <t>Surgical</t>
  </si>
  <si>
    <t>C100</t>
  </si>
  <si>
    <t>Rebecca Righter</t>
  </si>
  <si>
    <t>410-543-7153</t>
  </si>
  <si>
    <t>rebecca.righter@peninsula.org</t>
  </si>
  <si>
    <t>Medical Oncology</t>
  </si>
  <si>
    <t>Physician Subsidies Hospitalists</t>
  </si>
  <si>
    <t>Transitions Services</t>
  </si>
  <si>
    <t>C81</t>
  </si>
  <si>
    <t>Endocrinology</t>
  </si>
  <si>
    <t>aruble@wmhs.com</t>
  </si>
  <si>
    <t>C55</t>
  </si>
  <si>
    <t>Cardiology Physicians Practice</t>
  </si>
  <si>
    <t>C56</t>
  </si>
  <si>
    <t>GI Physicians Practice</t>
  </si>
  <si>
    <t>C54</t>
  </si>
  <si>
    <t>Pulmonary Physician Practice</t>
  </si>
  <si>
    <t>Telehealth TNN Chronic Disease Mgmt / AntiThrombosis Clinic</t>
  </si>
  <si>
    <t>Primary Care Phsyicians</t>
  </si>
  <si>
    <t xml:space="preserve">Surgical </t>
  </si>
  <si>
    <t>Other Medical</t>
  </si>
  <si>
    <t>Telehealth Pallitive Care</t>
  </si>
  <si>
    <t>Telehealth / Chronic Care</t>
  </si>
  <si>
    <t>Primary Care Physcians</t>
  </si>
  <si>
    <t>c120</t>
  </si>
  <si>
    <t>C110</t>
  </si>
  <si>
    <t>DGH HOSPITALISTS</t>
  </si>
  <si>
    <t>Physician Subsidies - ED On-Call</t>
  </si>
  <si>
    <t>Physician Subsidies - Psych ED/IP Coverage</t>
  </si>
  <si>
    <t>Physician Subsidies - Otolaryngology On-Call</t>
  </si>
  <si>
    <t>Physician Subsidies - Interventional Cardiology On-Call</t>
  </si>
  <si>
    <t>Physician Subsidies - Anesthesia On-Call</t>
  </si>
  <si>
    <t>Physician Subsidies - OB/GYN (ED &amp; IP Coverage)</t>
  </si>
  <si>
    <t>Physician Subsidies - Cardiology On-Call</t>
  </si>
  <si>
    <t>Physician Subsidies - Infusion Center</t>
  </si>
  <si>
    <t>Physician Subsidies - Hospitalist (Intern &amp; Resident)</t>
  </si>
  <si>
    <t>Healthy Family, Howard County (HFHC)</t>
  </si>
  <si>
    <t>Other - IRC Registry</t>
  </si>
  <si>
    <t>Other Community Building</t>
  </si>
  <si>
    <t>Trauma On Call</t>
  </si>
  <si>
    <t>Anesthesia On Call</t>
  </si>
  <si>
    <t>Urology On Call</t>
  </si>
  <si>
    <t>Stroke On Call</t>
  </si>
  <si>
    <t>Behavioral Health On Call</t>
  </si>
  <si>
    <t>Clinical Research (NIH per file)</t>
  </si>
  <si>
    <t>University of Maryland Capital Region Health</t>
  </si>
  <si>
    <t>Prince George's Hospital Center 21-0003; Laurel Regional Hospital  21-0055</t>
  </si>
  <si>
    <t>Michael A. Jacobs</t>
  </si>
  <si>
    <t>(301) 628-3615</t>
  </si>
  <si>
    <t>Trauma and Emergency services to the community</t>
  </si>
  <si>
    <t>Cost of Fundraising for Hospital Community Benefit</t>
  </si>
  <si>
    <t>Cost of grantwriting and other fundraising costs of equipment for community benefit services/ activities</t>
  </si>
  <si>
    <t>210002 &amp; 218992</t>
  </si>
  <si>
    <t>Univ. of Maryland Medical Center</t>
  </si>
  <si>
    <t>210003 &amp; 210055</t>
  </si>
  <si>
    <t>Frederick Memorial Hospital</t>
  </si>
  <si>
    <t>Univ. of Maryland Harford Memorial Hospital</t>
  </si>
  <si>
    <t>Mercy Medical Center, Inc.</t>
  </si>
  <si>
    <t>Univ. of Maryland Shore Medical Center at Dorchester</t>
  </si>
  <si>
    <t>St. Agnes Hospital</t>
  </si>
  <si>
    <t>Sinai Hospital</t>
  </si>
  <si>
    <t>Bon Secours Hospital</t>
  </si>
  <si>
    <t>MedStar Franklin Square Hospital</t>
  </si>
  <si>
    <t>Washington Adventist Hospital</t>
  </si>
  <si>
    <t>Garrett County Memorial Hospital</t>
  </si>
  <si>
    <t>MedStar Montgomery General Hospital</t>
  </si>
  <si>
    <t>Suburban Hospital Association,Inc</t>
  </si>
  <si>
    <t>Anne Arundel General Hospital</t>
  </si>
  <si>
    <t>Western Maryland Hospital</t>
  </si>
  <si>
    <t>MedStar St. Marys Hospital</t>
  </si>
  <si>
    <t>Johns Hopkins Bayview Med. Center</t>
  </si>
  <si>
    <t>Univ. of Maryland Shore Medical Center at Chestertown</t>
  </si>
  <si>
    <t>Carroll County General Hospital</t>
  </si>
  <si>
    <t>MedStar Harbor Hospital Center</t>
  </si>
  <si>
    <t>Univ. of Maryland Charles Regional Medical Center</t>
  </si>
  <si>
    <t>Univ. of Maryland Shore Medical Center at Easton</t>
  </si>
  <si>
    <t>Univ. of Maryland Medical Center Midtown Campus</t>
  </si>
  <si>
    <t>Calvert Memorial Hospital</t>
  </si>
  <si>
    <t>Univ. of Maryland Baltimore Washington Medical Center</t>
  </si>
  <si>
    <t>McCready Foundation, Inc.</t>
  </si>
  <si>
    <t>Univ. of Maryland Upper Chesepeake Medical Center</t>
  </si>
  <si>
    <t>Doctors Community Hospital</t>
  </si>
  <si>
    <t>Shady Grove Adventist Hospital</t>
  </si>
  <si>
    <t>UMROI</t>
  </si>
  <si>
    <t>MedStar Southern Maryland Hospital</t>
  </si>
  <si>
    <t>Univ. of Maryland St. Josephs Medical Center</t>
  </si>
  <si>
    <t>Holy Cross German Town</t>
  </si>
  <si>
    <t>Mt. Washington Peds</t>
  </si>
  <si>
    <t>Adventist Rehabilitation</t>
  </si>
  <si>
    <t>UM Capital Region</t>
  </si>
  <si>
    <t>FY 2018 Rate Support for Direct Medical Education and the Nurse Support Program</t>
  </si>
  <si>
    <t>Table I FY2018 All Hospitals Community Benefit Expenditures</t>
  </si>
  <si>
    <t>FY 2018 Rate Support for Charity Care</t>
  </si>
  <si>
    <t>FY2009 - FY2018 - Rate Support - for all hospitals</t>
  </si>
  <si>
    <t>FY2009-FY2018 - Net expense with &amp; without rate support</t>
  </si>
  <si>
    <t>FY 2018 Community Benefit Analysis, by Hospital</t>
  </si>
  <si>
    <t>Attachment III - Aggregated Hospital CBR Data FY2018 - Including Specialty Hospitals</t>
  </si>
  <si>
    <t>Physician Losses</t>
  </si>
  <si>
    <t>aegreene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</si>
</sst>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lt;=9999999]###\-####;\(###\)\ ###\-####"/>
    <numFmt numFmtId="166" formatCode="_(* #,##0_);_(* \(#,##0\);_(* &quot;-&quot;??_);_(@_)"/>
    <numFmt numFmtId="167" formatCode="&quot;$&quot;#,##0"/>
    <numFmt numFmtId="168" formatCode="_(&quot;$&quot;* #,##0_);_(&quot;$&quot;* \(#,##0\);_(&quot;$&quot;* &quot;-&quot;??_);_(@_)"/>
    <numFmt numFmtId="169" formatCode="0.0%"/>
    <numFmt numFmtId="170" formatCode="#,##0.000"/>
    <numFmt numFmtId="171" formatCode="_(&quot;$&quot;* #,##0.000_);_(&quot;$&quot;* \(#,##0.000\);_(&quot;$&quot;* &quot;-&quot;??_);_(@_)"/>
    <numFmt numFmtId="172" formatCode="_(* #,##0.0_);_(* \(#,##0.0\);_(* &quot;-&quot;??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sz val="8"/>
      <name val="Arial"/>
      <family val="2"/>
    </font>
    <font>
      <b/>
      <sz val="12"/>
      <name val="Arial"/>
      <family val="2"/>
    </font>
    <font>
      <b/>
      <i/>
      <sz val="9"/>
      <name val="Arial"/>
      <family val="2"/>
    </font>
    <font>
      <sz val="9"/>
      <name val="Arial"/>
      <family val="2"/>
    </font>
    <font>
      <b/>
      <sz val="11"/>
      <color theme="1"/>
      <name val="Calibri"/>
      <family val="2"/>
      <scheme val="minor"/>
    </font>
    <font>
      <sz val="12"/>
      <name val="Arial"/>
      <family val="2"/>
    </font>
    <font>
      <sz val="12"/>
      <name val="Times New Roman"/>
      <family val="1"/>
    </font>
    <font>
      <sz val="10"/>
      <name val="System"/>
      <family val="2"/>
    </font>
    <font>
      <b/>
      <sz val="18"/>
      <color theme="1"/>
      <name val="Calibri"/>
      <family val="2"/>
      <scheme val="minor"/>
    </font>
    <font>
      <b/>
      <sz val="14"/>
      <color theme="1"/>
      <name val="Calibri"/>
      <family val="2"/>
      <scheme val="minor"/>
    </font>
    <font>
      <b/>
      <sz val="10"/>
      <color theme="1"/>
      <name val="Calibri"/>
      <family val="2"/>
      <scheme val="minor"/>
    </font>
    <font>
      <b/>
      <i/>
      <u val="double"/>
      <sz val="14"/>
      <color theme="1"/>
      <name val="Calibri"/>
      <family val="2"/>
      <scheme val="minor"/>
    </font>
    <font>
      <b/>
      <i/>
      <sz val="14"/>
      <color theme="1"/>
      <name val="Calibri"/>
      <family val="2"/>
      <scheme val="minor"/>
    </font>
    <font>
      <b/>
      <i/>
      <u val="singleAccounting"/>
      <sz val="11"/>
      <color theme="1"/>
      <name val="Calibri"/>
      <family val="2"/>
      <scheme val="minor"/>
    </font>
    <font>
      <u val="singleAccounting"/>
      <sz val="11"/>
      <color theme="1"/>
      <name val="Calibri"/>
      <family val="2"/>
      <scheme val="minor"/>
    </font>
    <font>
      <b/>
      <i/>
      <u val="doubleAccounting"/>
      <sz val="11"/>
      <color theme="1"/>
      <name val="Calibri"/>
      <family val="2"/>
      <scheme val="minor"/>
    </font>
    <font>
      <b/>
      <i/>
      <sz val="11"/>
      <color theme="1"/>
      <name val="Calibri"/>
      <family val="2"/>
      <scheme val="minor"/>
    </font>
    <font>
      <i/>
      <sz val="11"/>
      <color theme="1"/>
      <name val="Calibri"/>
      <family val="2"/>
      <scheme val="minor"/>
    </font>
    <font>
      <b/>
      <u/>
      <sz val="14"/>
      <color theme="1"/>
      <name val="Calibri"/>
      <family val="2"/>
      <scheme val="minor"/>
    </font>
    <font>
      <sz val="10"/>
      <name val="Arial"/>
      <family val="2"/>
    </font>
    <font>
      <sz val="12"/>
      <name val="Times New Roman"/>
      <family val="1"/>
    </font>
    <font>
      <u/>
      <sz val="11"/>
      <color theme="10"/>
      <name val="Calibri"/>
      <family val="2"/>
      <scheme val="minor"/>
    </font>
    <font>
      <sz val="11"/>
      <color theme="1"/>
      <name val="Cambria"/>
      <family val="1"/>
      <scheme val="major"/>
    </font>
    <font>
      <sz val="10"/>
      <color indexed="12"/>
      <name val="Arial"/>
      <family val="2"/>
    </font>
    <font>
      <b/>
      <sz val="10"/>
      <color indexed="12"/>
      <name val="Arial"/>
      <family val="2"/>
    </font>
    <font>
      <u/>
      <sz val="10"/>
      <color theme="10"/>
      <name val="Arial"/>
      <family val="2"/>
    </font>
    <font>
      <b/>
      <sz val="16"/>
      <name val="Arial"/>
      <family val="2"/>
    </font>
    <font>
      <b/>
      <sz val="8"/>
      <name val="Arial"/>
      <family val="2"/>
    </font>
    <font>
      <b/>
      <i/>
      <sz val="11"/>
      <color rgb="FFFF0000"/>
      <name val="Calibri"/>
      <family val="2"/>
      <scheme val="minor"/>
    </font>
    <font>
      <sz val="11"/>
      <name val="Calibri"/>
      <family val="2"/>
      <scheme val="minor"/>
    </font>
    <font>
      <u/>
      <sz val="11"/>
      <color theme="10"/>
      <name val="Calibri"/>
      <family val="2"/>
    </font>
    <font>
      <sz val="10"/>
      <color rgb="FF000000"/>
      <name val="Arial"/>
      <family val="2"/>
    </font>
    <font>
      <sz val="10"/>
      <name val="Arial"/>
      <family val="2"/>
    </font>
    <font>
      <b/>
      <sz val="10"/>
      <color rgb="FFFF0000"/>
      <name val="Arial"/>
      <family val="2"/>
    </font>
    <font>
      <u/>
      <sz val="8.8000000000000007"/>
      <color theme="10"/>
      <name val="Calibri"/>
      <family val="2"/>
    </font>
    <font>
      <u/>
      <sz val="11"/>
      <color indexed="8"/>
      <name val="Calibri"/>
      <family val="2"/>
    </font>
    <font>
      <sz val="11"/>
      <color indexed="8"/>
      <name val="Calibri"/>
      <family val="2"/>
    </font>
    <font>
      <sz val="10"/>
      <color rgb="FF000000"/>
      <name val="Arial"/>
      <family val="2"/>
    </font>
    <font>
      <sz val="10"/>
      <color indexed="8"/>
      <name val="Arial"/>
      <family val="2"/>
    </font>
    <font>
      <sz val="10"/>
      <color rgb="FFFF0000"/>
      <name val="Arial"/>
      <family val="2"/>
    </font>
    <font>
      <sz val="10"/>
      <name val="Arial"/>
      <family val="2"/>
    </font>
    <font>
      <b/>
      <sz val="11"/>
      <name val="Calibri"/>
      <family val="2"/>
      <scheme val="minor"/>
    </font>
    <font>
      <u/>
      <sz val="10"/>
      <color theme="10"/>
      <name val="Arial"/>
      <family val="2"/>
    </font>
    <font>
      <b/>
      <sz val="11"/>
      <color rgb="FFFF0000"/>
      <name val="Calibri"/>
      <family val="2"/>
      <scheme val="minor"/>
    </font>
    <font>
      <sz val="10"/>
      <color theme="1"/>
      <name val="Arial"/>
      <family val="2"/>
    </font>
    <font>
      <b/>
      <sz val="11"/>
      <color rgb="FFFFFFFF"/>
      <name val="Calibri"/>
      <family val="2"/>
    </font>
    <font>
      <sz val="11"/>
      <color rgb="FF000000"/>
      <name val="Calibri"/>
      <family val="2"/>
    </font>
    <font>
      <i/>
      <sz val="10"/>
      <name val="Arial"/>
      <family val="2"/>
    </font>
    <font>
      <sz val="16"/>
      <name val="Arial"/>
      <family val="2"/>
    </font>
    <font>
      <sz val="10"/>
      <color rgb="FFC00000"/>
      <name val="Arial"/>
      <family val="2"/>
    </font>
    <font>
      <sz val="11"/>
      <name val="Arial"/>
      <family val="2"/>
    </font>
    <font>
      <b/>
      <sz val="11"/>
      <name val="Arial"/>
      <family val="2"/>
    </font>
    <font>
      <b/>
      <i/>
      <sz val="11"/>
      <name val="Arial"/>
      <family val="2"/>
    </font>
    <font>
      <sz val="11"/>
      <color theme="4"/>
      <name val="Arial"/>
      <family val="2"/>
    </font>
    <font>
      <b/>
      <sz val="10"/>
      <color theme="3"/>
      <name val="Arial"/>
      <family val="2"/>
    </font>
    <font>
      <b/>
      <sz val="11"/>
      <color rgb="FF000000"/>
      <name val="Calibri"/>
      <family val="2"/>
      <scheme val="minor"/>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
      <patternFill patternType="solid">
        <fgColor rgb="FFB8CCE4"/>
        <bgColor indexed="64"/>
      </patternFill>
    </fill>
    <fill>
      <patternFill patternType="solid">
        <fgColor rgb="FFFFC00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18">
    <xf numFmtId="0" fontId="0" fillId="0" borderId="0"/>
    <xf numFmtId="9" fontId="27" fillId="0" borderId="0" applyFont="0" applyFill="0" applyBorder="0" applyAlignment="0" applyProtection="0"/>
    <xf numFmtId="0" fontId="27" fillId="0" borderId="0"/>
    <xf numFmtId="0" fontId="26" fillId="0" borderId="0"/>
    <xf numFmtId="0" fontId="35" fillId="0" borderId="0"/>
    <xf numFmtId="43" fontId="26" fillId="0" borderId="0" applyFont="0" applyFill="0" applyBorder="0" applyAlignment="0" applyProtection="0"/>
    <xf numFmtId="9" fontId="26" fillId="0" borderId="0" applyFont="0" applyFill="0" applyBorder="0" applyAlignment="0" applyProtection="0"/>
    <xf numFmtId="0" fontId="37" fillId="0" borderId="0"/>
    <xf numFmtId="44" fontId="26" fillId="0" borderId="0" applyFont="0" applyFill="0" applyBorder="0" applyAlignment="0" applyProtection="0"/>
    <xf numFmtId="0" fontId="25" fillId="0" borderId="0"/>
    <xf numFmtId="0" fontId="25" fillId="0" borderId="0"/>
    <xf numFmtId="9" fontId="49" fillId="0" borderId="0" applyFont="0" applyFill="0" applyBorder="0" applyAlignment="0" applyProtection="0"/>
    <xf numFmtId="0" fontId="24" fillId="0" borderId="0"/>
    <xf numFmtId="0" fontId="50" fillId="0" borderId="0"/>
    <xf numFmtId="43" fontId="36" fillId="0" borderId="0" applyFont="0" applyFill="0" applyBorder="0" applyAlignment="0" applyProtection="0"/>
    <xf numFmtId="9" fontId="27" fillId="0" borderId="0" applyFont="0" applyFill="0" applyBorder="0" applyAlignment="0" applyProtection="0"/>
    <xf numFmtId="0" fontId="51" fillId="0" borderId="0" applyNumberFormat="0" applyFill="0" applyBorder="0" applyAlignment="0" applyProtection="0"/>
    <xf numFmtId="0" fontId="23" fillId="0" borderId="0"/>
    <xf numFmtId="43" fontId="49" fillId="0" borderId="0" applyFont="0" applyFill="0" applyBorder="0" applyAlignment="0" applyProtection="0"/>
    <xf numFmtId="44" fontId="49" fillId="0" borderId="0" applyFont="0" applyFill="0" applyBorder="0" applyAlignment="0" applyProtection="0"/>
    <xf numFmtId="0" fontId="22" fillId="0" borderId="0"/>
    <xf numFmtId="0" fontId="55" fillId="0" borderId="0" applyNumberFormat="0" applyFill="0" applyBorder="0" applyAlignment="0" applyProtection="0"/>
    <xf numFmtId="0" fontId="27" fillId="0" borderId="0"/>
    <xf numFmtId="44" fontId="22" fillId="0" borderId="0" applyFont="0" applyFill="0" applyBorder="0" applyAlignment="0" applyProtection="0"/>
    <xf numFmtId="9" fontId="27"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44" fontId="21" fillId="0" borderId="0" applyFont="0" applyFill="0" applyBorder="0" applyAlignment="0" applyProtection="0"/>
    <xf numFmtId="0" fontId="35" fillId="0" borderId="0"/>
    <xf numFmtId="0" fontId="17" fillId="0" borderId="0"/>
    <xf numFmtId="9" fontId="17" fillId="0" borderId="0" applyFont="0" applyFill="0" applyBorder="0" applyAlignment="0" applyProtection="0"/>
    <xf numFmtId="44" fontId="17" fillId="0" borderId="0" applyFont="0" applyFill="0" applyBorder="0" applyAlignment="0" applyProtection="0"/>
    <xf numFmtId="44" fontId="27" fillId="0" borderId="0" applyFont="0" applyFill="0" applyBorder="0" applyAlignment="0" applyProtection="0"/>
    <xf numFmtId="0" fontId="60" fillId="0" borderId="0" applyNumberFormat="0" applyFill="0" applyBorder="0" applyAlignment="0" applyProtection="0">
      <alignment vertical="top"/>
      <protection locked="0"/>
    </xf>
    <xf numFmtId="43" fontId="17" fillId="0" borderId="0" applyFont="0" applyFill="0" applyBorder="0" applyAlignment="0" applyProtection="0"/>
    <xf numFmtId="0" fontId="61" fillId="0" borderId="0"/>
    <xf numFmtId="43" fontId="61" fillId="0" borderId="0" applyFont="0" applyFill="0" applyBorder="0" applyAlignment="0" applyProtection="0"/>
    <xf numFmtId="43" fontId="27" fillId="0" borderId="0" applyFont="0" applyFill="0" applyBorder="0" applyAlignment="0" applyProtection="0"/>
    <xf numFmtId="44" fontId="62" fillId="0" borderId="0" applyFont="0" applyFill="0" applyBorder="0" applyAlignment="0" applyProtection="0"/>
    <xf numFmtId="9" fontId="62" fillId="0" borderId="0" applyFont="0" applyFill="0" applyBorder="0" applyAlignment="0" applyProtection="0"/>
    <xf numFmtId="43" fontId="62" fillId="0" borderId="0" applyFont="0" applyFill="0" applyBorder="0" applyAlignment="0" applyProtection="0"/>
    <xf numFmtId="0" fontId="16" fillId="0" borderId="0"/>
    <xf numFmtId="9"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0" fontId="15" fillId="0" borderId="0"/>
    <xf numFmtId="9" fontId="15" fillId="0" borderId="0" applyFont="0" applyFill="0" applyBorder="0" applyAlignment="0" applyProtection="0"/>
    <xf numFmtId="0" fontId="13" fillId="0" borderId="0"/>
    <xf numFmtId="44" fontId="1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xf numFmtId="0" fontId="64" fillId="0" borderId="0" applyNumberFormat="0" applyFill="0" applyBorder="0" applyAlignment="0" applyProtection="0">
      <alignment vertical="top"/>
      <protection locked="0"/>
    </xf>
    <xf numFmtId="44" fontId="27" fillId="0" borderId="0" applyFont="0" applyFill="0" applyBorder="0" applyAlignment="0" applyProtection="0"/>
    <xf numFmtId="43" fontId="27" fillId="0" borderId="0" applyFont="0" applyFill="0" applyBorder="0" applyAlignment="0" applyProtection="0"/>
    <xf numFmtId="0" fontId="67" fillId="0" borderId="0"/>
    <xf numFmtId="44"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9" fontId="11"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68" fillId="0" borderId="0">
      <alignment vertical="top"/>
    </xf>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7" fillId="0" borderId="0"/>
    <xf numFmtId="0" fontId="70" fillId="0" borderId="0"/>
    <xf numFmtId="9" fontId="2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36" fillId="0" borderId="0"/>
    <xf numFmtId="0" fontId="7" fillId="0" borderId="0"/>
    <xf numFmtId="43" fontId="27" fillId="0" borderId="0" applyFont="0" applyFill="0" applyBorder="0" applyAlignment="0" applyProtection="0"/>
    <xf numFmtId="44" fontId="27"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61"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2" fillId="0" borderId="0" applyNumberFormat="0" applyFill="0" applyBorder="0" applyAlignment="0" applyProtection="0"/>
  </cellStyleXfs>
  <cellXfs count="948">
    <xf numFmtId="0" fontId="0" fillId="0" borderId="0" xfId="0"/>
    <xf numFmtId="0" fontId="28" fillId="0" borderId="0" xfId="0" applyFont="1" applyAlignment="1">
      <alignment horizontal="right"/>
    </xf>
    <xf numFmtId="0" fontId="26" fillId="0" borderId="0" xfId="3"/>
    <xf numFmtId="0" fontId="26" fillId="0" borderId="0" xfId="3" applyBorder="1"/>
    <xf numFmtId="0" fontId="34" fillId="0" borderId="0" xfId="3" applyFont="1"/>
    <xf numFmtId="0" fontId="26" fillId="0" borderId="0" xfId="3" applyFill="1"/>
    <xf numFmtId="5" fontId="26" fillId="0" borderId="0" xfId="3" applyNumberFormat="1"/>
    <xf numFmtId="0" fontId="26" fillId="0" borderId="0" xfId="3" applyAlignment="1">
      <alignment wrapText="1"/>
    </xf>
    <xf numFmtId="5" fontId="34" fillId="0" borderId="0" xfId="3" applyNumberFormat="1" applyFont="1"/>
    <xf numFmtId="9" fontId="0" fillId="0" borderId="0" xfId="6" applyFont="1"/>
    <xf numFmtId="0" fontId="26" fillId="0" borderId="2" xfId="3" applyBorder="1"/>
    <xf numFmtId="37" fontId="34" fillId="0" borderId="2" xfId="3" applyNumberFormat="1" applyFont="1" applyBorder="1" applyAlignment="1">
      <alignment horizontal="right"/>
    </xf>
    <xf numFmtId="37" fontId="34" fillId="0" borderId="2" xfId="3" applyNumberFormat="1" applyFont="1" applyBorder="1"/>
    <xf numFmtId="167" fontId="34" fillId="0" borderId="2" xfId="3" applyNumberFormat="1" applyFont="1" applyBorder="1"/>
    <xf numFmtId="10" fontId="34" fillId="0" borderId="2" xfId="6" applyNumberFormat="1" applyFont="1" applyBorder="1" applyAlignment="1">
      <alignment horizontal="right"/>
    </xf>
    <xf numFmtId="167" fontId="26" fillId="0" borderId="0" xfId="3" applyNumberFormat="1"/>
    <xf numFmtId="0" fontId="34" fillId="0" borderId="0" xfId="3" applyFont="1" applyAlignment="1">
      <alignment horizontal="right"/>
    </xf>
    <xf numFmtId="0" fontId="34" fillId="0" borderId="0" xfId="3" applyFont="1" applyAlignment="1"/>
    <xf numFmtId="167" fontId="34" fillId="0" borderId="0" xfId="3" applyNumberFormat="1" applyFont="1" applyAlignment="1"/>
    <xf numFmtId="9" fontId="34" fillId="0" borderId="0" xfId="6" applyFont="1"/>
    <xf numFmtId="167" fontId="34" fillId="0" borderId="0" xfId="8" applyNumberFormat="1" applyFont="1"/>
    <xf numFmtId="0" fontId="26" fillId="0" borderId="0" xfId="3" applyAlignment="1">
      <alignment horizontal="right"/>
    </xf>
    <xf numFmtId="37" fontId="26" fillId="0" borderId="0" xfId="3" applyNumberFormat="1"/>
    <xf numFmtId="167" fontId="0" fillId="0" borderId="0" xfId="8" applyNumberFormat="1" applyFont="1"/>
    <xf numFmtId="49" fontId="30" fillId="2" borderId="3" xfId="0" applyNumberFormat="1" applyFont="1" applyFill="1" applyBorder="1" applyAlignment="1" applyProtection="1">
      <protection locked="0"/>
    </xf>
    <xf numFmtId="49" fontId="30" fillId="2" borderId="4" xfId="0" applyNumberFormat="1" applyFont="1" applyFill="1" applyBorder="1" applyAlignment="1" applyProtection="1">
      <protection locked="0"/>
    </xf>
    <xf numFmtId="49" fontId="30" fillId="2" borderId="5" xfId="0" applyNumberFormat="1" applyFont="1" applyFill="1" applyBorder="1" applyAlignment="1" applyProtection="1">
      <protection locked="0"/>
    </xf>
    <xf numFmtId="0" fontId="27" fillId="0" borderId="0" xfId="20" applyFont="1" applyFill="1" applyBorder="1"/>
    <xf numFmtId="0" fontId="28" fillId="0" borderId="0" xfId="20" applyFont="1" applyFill="1" applyBorder="1" applyAlignment="1">
      <alignment horizontal="center"/>
    </xf>
    <xf numFmtId="0" fontId="28" fillId="0" borderId="0" xfId="20" applyFont="1" applyFill="1" applyBorder="1" applyAlignment="1">
      <alignment horizontal="left"/>
    </xf>
    <xf numFmtId="0" fontId="27" fillId="0" borderId="0" xfId="20" applyFont="1" applyFill="1" applyBorder="1" applyAlignment="1">
      <alignment horizontal="left"/>
    </xf>
    <xf numFmtId="0" fontId="27" fillId="0" borderId="0" xfId="20" applyFont="1" applyFill="1" applyBorder="1" applyAlignment="1">
      <alignment horizontal="center"/>
    </xf>
    <xf numFmtId="0" fontId="28" fillId="0" borderId="0" xfId="20" applyFont="1" applyFill="1" applyBorder="1" applyAlignment="1">
      <alignment horizontal="center" wrapText="1"/>
    </xf>
    <xf numFmtId="164" fontId="28" fillId="0" borderId="0" xfId="20" applyNumberFormat="1" applyFont="1" applyFill="1" applyBorder="1" applyAlignment="1">
      <alignment horizontal="center" wrapText="1"/>
    </xf>
    <xf numFmtId="0" fontId="28" fillId="0" borderId="0" xfId="20" applyFont="1" applyFill="1" applyBorder="1" applyAlignment="1"/>
    <xf numFmtId="0" fontId="28" fillId="0" borderId="0" xfId="20" applyFont="1" applyFill="1" applyBorder="1"/>
    <xf numFmtId="3" fontId="27" fillId="0" borderId="0" xfId="20" applyNumberFormat="1" applyFont="1" applyFill="1" applyBorder="1"/>
    <xf numFmtId="3" fontId="28" fillId="6" borderId="2" xfId="20" applyNumberFormat="1" applyFont="1" applyFill="1" applyBorder="1"/>
    <xf numFmtId="7" fontId="28" fillId="0" borderId="0" xfId="20" applyNumberFormat="1" applyFont="1" applyFill="1" applyBorder="1" applyAlignment="1">
      <alignment horizontal="center" wrapText="1"/>
    </xf>
    <xf numFmtId="164" fontId="27" fillId="0" borderId="0" xfId="20" applyNumberFormat="1" applyFont="1" applyFill="1" applyBorder="1"/>
    <xf numFmtId="7" fontId="27" fillId="0" borderId="0" xfId="20" applyNumberFormat="1" applyFont="1" applyFill="1" applyBorder="1"/>
    <xf numFmtId="0" fontId="28" fillId="0" borderId="0" xfId="20" applyFont="1" applyFill="1" applyBorder="1" applyAlignment="1">
      <alignment horizontal="right"/>
    </xf>
    <xf numFmtId="3" fontId="27" fillId="0" borderId="2" xfId="20" applyNumberFormat="1" applyFont="1" applyFill="1" applyBorder="1"/>
    <xf numFmtId="167" fontId="28" fillId="6" borderId="2" xfId="20" applyNumberFormat="1" applyFont="1" applyFill="1" applyBorder="1"/>
    <xf numFmtId="3" fontId="28" fillId="0" borderId="0" xfId="20" applyNumberFormat="1" applyFont="1" applyFill="1" applyBorder="1"/>
    <xf numFmtId="167" fontId="28" fillId="0" borderId="0" xfId="20" applyNumberFormat="1" applyFont="1" applyFill="1" applyBorder="1"/>
    <xf numFmtId="167" fontId="27" fillId="7" borderId="0" xfId="20" applyNumberFormat="1" applyFont="1" applyFill="1" applyBorder="1"/>
    <xf numFmtId="167" fontId="27" fillId="0" borderId="0" xfId="20" applyNumberFormat="1" applyFont="1" applyFill="1" applyBorder="1"/>
    <xf numFmtId="0" fontId="27" fillId="0" borderId="0" xfId="20" applyFont="1" applyFill="1" applyBorder="1" applyAlignment="1"/>
    <xf numFmtId="0" fontId="27" fillId="0" borderId="9" xfId="20" applyFont="1" applyFill="1" applyBorder="1" applyAlignment="1"/>
    <xf numFmtId="0" fontId="28" fillId="0" borderId="0" xfId="20" applyFont="1" applyFill="1" applyBorder="1" applyAlignment="1">
      <alignment wrapText="1"/>
    </xf>
    <xf numFmtId="3" fontId="28" fillId="0" borderId="8" xfId="20" applyNumberFormat="1" applyFont="1" applyFill="1" applyBorder="1"/>
    <xf numFmtId="3" fontId="27" fillId="0" borderId="8" xfId="20" applyNumberFormat="1" applyFont="1" applyFill="1" applyBorder="1"/>
    <xf numFmtId="3" fontId="28" fillId="6" borderId="2" xfId="20" applyNumberFormat="1" applyFont="1" applyFill="1" applyBorder="1" applyProtection="1"/>
    <xf numFmtId="3" fontId="28" fillId="0" borderId="0" xfId="20" applyNumberFormat="1" applyFont="1" applyFill="1" applyBorder="1" applyProtection="1">
      <protection locked="0"/>
    </xf>
    <xf numFmtId="49" fontId="31" fillId="0" borderId="0" xfId="20" applyNumberFormat="1" applyFont="1" applyFill="1" applyBorder="1" applyAlignment="1">
      <alignment horizontal="left"/>
    </xf>
    <xf numFmtId="0" fontId="57" fillId="0" borderId="0" xfId="20" applyFont="1" applyFill="1" applyBorder="1" applyAlignment="1">
      <alignment horizontal="center" wrapText="1"/>
    </xf>
    <xf numFmtId="49" fontId="27" fillId="7" borderId="0" xfId="20" applyNumberFormat="1" applyFont="1" applyFill="1" applyBorder="1" applyAlignment="1" applyProtection="1">
      <protection locked="0"/>
    </xf>
    <xf numFmtId="3" fontId="27" fillId="0" borderId="2" xfId="20" applyNumberFormat="1" applyFont="1" applyFill="1" applyBorder="1" applyProtection="1"/>
    <xf numFmtId="3" fontId="27" fillId="0" borderId="8" xfId="20" applyNumberFormat="1" applyFont="1" applyFill="1" applyBorder="1" applyProtection="1"/>
    <xf numFmtId="3" fontId="28" fillId="6" borderId="6" xfId="20" applyNumberFormat="1" applyFont="1" applyFill="1" applyBorder="1"/>
    <xf numFmtId="0" fontId="28" fillId="0" borderId="9" xfId="20" applyFont="1" applyFill="1" applyBorder="1" applyAlignment="1"/>
    <xf numFmtId="3" fontId="27" fillId="0" borderId="7" xfId="20" applyNumberFormat="1" applyFont="1" applyFill="1" applyBorder="1" applyProtection="1"/>
    <xf numFmtId="0" fontId="27" fillId="0" borderId="0" xfId="20" applyFont="1" applyFill="1" applyBorder="1" applyProtection="1"/>
    <xf numFmtId="3" fontId="27" fillId="0" borderId="8" xfId="20" applyNumberFormat="1" applyFont="1" applyFill="1" applyBorder="1" applyProtection="1">
      <protection locked="0"/>
    </xf>
    <xf numFmtId="3" fontId="28" fillId="0" borderId="0" xfId="20" applyNumberFormat="1" applyFont="1" applyFill="1" applyBorder="1" applyProtection="1"/>
    <xf numFmtId="167" fontId="28" fillId="0" borderId="0" xfId="20" applyNumberFormat="1" applyFont="1" applyFill="1" applyBorder="1" applyProtection="1"/>
    <xf numFmtId="0" fontId="27" fillId="0" borderId="8" xfId="20" applyFont="1" applyFill="1" applyBorder="1"/>
    <xf numFmtId="164" fontId="28" fillId="0" borderId="0" xfId="20" applyNumberFormat="1" applyFont="1" applyFill="1" applyBorder="1"/>
    <xf numFmtId="10" fontId="28" fillId="0" borderId="0" xfId="24" applyNumberFormat="1" applyFont="1" applyFill="1" applyBorder="1" applyProtection="1"/>
    <xf numFmtId="10" fontId="28" fillId="6" borderId="2" xfId="20" applyNumberFormat="1" applyFont="1" applyFill="1" applyBorder="1"/>
    <xf numFmtId="166" fontId="27" fillId="0" borderId="0" xfId="25" applyNumberFormat="1" applyFont="1" applyFill="1" applyBorder="1"/>
    <xf numFmtId="10" fontId="28" fillId="0" borderId="0" xfId="20" applyNumberFormat="1" applyFont="1" applyFill="1" applyBorder="1"/>
    <xf numFmtId="10" fontId="27" fillId="0" borderId="0" xfId="26" applyNumberFormat="1" applyFont="1" applyFill="1" applyBorder="1"/>
    <xf numFmtId="168" fontId="28" fillId="6" borderId="2" xfId="19" applyNumberFormat="1" applyFont="1" applyFill="1" applyBorder="1"/>
    <xf numFmtId="49" fontId="27" fillId="0" borderId="9" xfId="20" applyNumberFormat="1" applyFont="1" applyFill="1" applyBorder="1" applyAlignment="1" applyProtection="1">
      <protection locked="0"/>
    </xf>
    <xf numFmtId="3" fontId="0" fillId="0" borderId="0" xfId="0" applyNumberFormat="1" applyFill="1" applyBorder="1" applyProtection="1">
      <protection locked="0"/>
    </xf>
    <xf numFmtId="168" fontId="28" fillId="6" borderId="6" xfId="19" applyNumberFormat="1" applyFont="1" applyFill="1" applyBorder="1"/>
    <xf numFmtId="168" fontId="28" fillId="6" borderId="2" xfId="19" applyNumberFormat="1" applyFont="1" applyFill="1" applyBorder="1" applyProtection="1"/>
    <xf numFmtId="3" fontId="28" fillId="0" borderId="2" xfId="20" applyNumberFormat="1" applyFont="1" applyFill="1" applyBorder="1"/>
    <xf numFmtId="0" fontId="28" fillId="0" borderId="0" xfId="0" applyFont="1" applyFill="1" applyAlignment="1">
      <alignment horizontal="right"/>
    </xf>
    <xf numFmtId="49" fontId="30" fillId="0" borderId="0" xfId="0" applyNumberFormat="1" applyFont="1" applyFill="1" applyBorder="1" applyAlignment="1" applyProtection="1">
      <protection locked="0"/>
    </xf>
    <xf numFmtId="168" fontId="28" fillId="0" borderId="2" xfId="19" applyNumberFormat="1" applyFont="1" applyFill="1" applyBorder="1"/>
    <xf numFmtId="0" fontId="19" fillId="0" borderId="0" xfId="3" applyFont="1" applyFill="1"/>
    <xf numFmtId="0" fontId="26" fillId="0" borderId="0" xfId="3" applyBorder="1" applyAlignment="1">
      <alignment horizontal="right"/>
    </xf>
    <xf numFmtId="167" fontId="26" fillId="0" borderId="0" xfId="3" applyNumberFormat="1" applyBorder="1"/>
    <xf numFmtId="5" fontId="26" fillId="0" borderId="0" xfId="3" applyNumberFormat="1" applyBorder="1"/>
    <xf numFmtId="9" fontId="0" fillId="0" borderId="0" xfId="6" applyFont="1" applyBorder="1"/>
    <xf numFmtId="0" fontId="16" fillId="0" borderId="0" xfId="42"/>
    <xf numFmtId="0" fontId="34" fillId="0" borderId="0" xfId="42" applyFont="1"/>
    <xf numFmtId="0" fontId="26" fillId="8" borderId="0" xfId="3" applyFill="1"/>
    <xf numFmtId="3" fontId="28" fillId="5" borderId="6" xfId="20" applyNumberFormat="1" applyFont="1" applyFill="1" applyBorder="1"/>
    <xf numFmtId="168" fontId="28" fillId="5" borderId="6" xfId="19" applyNumberFormat="1" applyFont="1" applyFill="1" applyBorder="1"/>
    <xf numFmtId="168" fontId="28" fillId="5" borderId="2" xfId="19" applyNumberFormat="1" applyFont="1" applyFill="1" applyBorder="1"/>
    <xf numFmtId="169" fontId="26" fillId="0" borderId="0" xfId="3" applyNumberFormat="1"/>
    <xf numFmtId="0" fontId="14" fillId="0" borderId="0" xfId="3" applyFont="1" applyAlignment="1"/>
    <xf numFmtId="0" fontId="26" fillId="0" borderId="0" xfId="3" applyAlignment="1"/>
    <xf numFmtId="167" fontId="26" fillId="0" borderId="0" xfId="3" applyNumberFormat="1" applyAlignment="1"/>
    <xf numFmtId="5" fontId="26" fillId="0" borderId="0" xfId="3" applyNumberFormat="1" applyAlignment="1"/>
    <xf numFmtId="167" fontId="0" fillId="0" borderId="0" xfId="8" applyNumberFormat="1" applyFont="1" applyAlignment="1"/>
    <xf numFmtId="10" fontId="34" fillId="0" borderId="2" xfId="3" applyNumberFormat="1" applyFont="1" applyBorder="1"/>
    <xf numFmtId="3" fontId="27" fillId="2" borderId="11" xfId="2" applyNumberFormat="1" applyFill="1" applyBorder="1" applyProtection="1"/>
    <xf numFmtId="10" fontId="27" fillId="2" borderId="11" xfId="15" applyNumberFormat="1" applyFont="1" applyFill="1" applyBorder="1" applyProtection="1"/>
    <xf numFmtId="167" fontId="0" fillId="2" borderId="11" xfId="0" applyNumberFormat="1" applyFill="1" applyBorder="1" applyProtection="1"/>
    <xf numFmtId="167" fontId="0" fillId="0" borderId="0" xfId="0" applyNumberFormat="1"/>
    <xf numFmtId="167" fontId="27" fillId="2" borderId="11" xfId="2" applyNumberFormat="1" applyFill="1" applyBorder="1" applyProtection="1"/>
    <xf numFmtId="0" fontId="0" fillId="0" borderId="0" xfId="0" applyAlignment="1">
      <alignment horizontal="left"/>
    </xf>
    <xf numFmtId="0" fontId="27" fillId="0" borderId="0" xfId="0" applyFont="1"/>
    <xf numFmtId="0" fontId="28" fillId="0" borderId="0" xfId="0" applyFont="1"/>
    <xf numFmtId="0" fontId="28" fillId="0" borderId="0" xfId="0" applyFont="1" applyAlignment="1">
      <alignment horizontal="centerContinuous"/>
    </xf>
    <xf numFmtId="0" fontId="0" fillId="0" borderId="0" xfId="0" applyAlignment="1">
      <alignment horizontal="centerContinuous"/>
    </xf>
    <xf numFmtId="0" fontId="28" fillId="0" borderId="0" xfId="0" applyFont="1" applyAlignment="1">
      <alignment horizontal="left"/>
    </xf>
    <xf numFmtId="0" fontId="29" fillId="0" borderId="0" xfId="0" applyFont="1" applyFill="1" applyBorder="1" applyAlignment="1">
      <alignment horizontal="left"/>
    </xf>
    <xf numFmtId="0" fontId="28" fillId="0" borderId="0" xfId="0" applyFont="1" applyAlignment="1">
      <alignment horizontal="center" wrapText="1"/>
    </xf>
    <xf numFmtId="0" fontId="0" fillId="0" borderId="0" xfId="0" applyBorder="1"/>
    <xf numFmtId="0" fontId="0" fillId="0" borderId="10" xfId="0" applyBorder="1" applyAlignment="1">
      <alignment horizontal="left"/>
    </xf>
    <xf numFmtId="0" fontId="28" fillId="0" borderId="10" xfId="0" applyFont="1" applyBorder="1"/>
    <xf numFmtId="0" fontId="0" fillId="0" borderId="10" xfId="0" applyBorder="1"/>
    <xf numFmtId="164" fontId="0" fillId="2" borderId="11" xfId="0" applyNumberFormat="1" applyFill="1" applyBorder="1" applyProtection="1"/>
    <xf numFmtId="3" fontId="0" fillId="2" borderId="11" xfId="0" applyNumberFormat="1" applyFill="1" applyBorder="1"/>
    <xf numFmtId="3" fontId="0" fillId="0" borderId="12" xfId="0" applyNumberFormat="1" applyFill="1" applyBorder="1"/>
    <xf numFmtId="164" fontId="0" fillId="0" borderId="12" xfId="0" applyNumberFormat="1" applyFill="1" applyBorder="1"/>
    <xf numFmtId="0" fontId="0" fillId="2" borderId="11" xfId="0" applyFill="1" applyBorder="1" applyProtection="1"/>
    <xf numFmtId="0" fontId="0" fillId="0" borderId="12" xfId="0" applyBorder="1"/>
    <xf numFmtId="164" fontId="0" fillId="2" borderId="17" xfId="0" applyNumberFormat="1" applyFill="1" applyBorder="1"/>
    <xf numFmtId="3" fontId="0" fillId="2" borderId="17" xfId="0" applyNumberFormat="1" applyFill="1" applyBorder="1"/>
    <xf numFmtId="3" fontId="0" fillId="3" borderId="17" xfId="0" applyNumberFormat="1" applyFill="1" applyBorder="1"/>
    <xf numFmtId="164" fontId="0" fillId="3" borderId="17" xfId="0" applyNumberFormat="1" applyFill="1" applyBorder="1"/>
    <xf numFmtId="164" fontId="0" fillId="3" borderId="19" xfId="0" applyNumberFormat="1" applyFill="1" applyBorder="1"/>
    <xf numFmtId="164" fontId="0" fillId="3" borderId="13" xfId="0" applyNumberFormat="1" applyFill="1" applyBorder="1" applyProtection="1"/>
    <xf numFmtId="0" fontId="27" fillId="0" borderId="0" xfId="0" applyFont="1" applyBorder="1"/>
    <xf numFmtId="0" fontId="0" fillId="0" borderId="20" xfId="0" applyBorder="1"/>
    <xf numFmtId="3" fontId="0" fillId="2" borderId="21" xfId="0" applyNumberFormat="1" applyFill="1" applyBorder="1"/>
    <xf numFmtId="164" fontId="0" fillId="2" borderId="13" xfId="0" applyNumberFormat="1" applyFill="1" applyBorder="1" applyProtection="1"/>
    <xf numFmtId="164" fontId="0" fillId="5" borderId="11" xfId="0" applyNumberFormat="1" applyFill="1" applyBorder="1" applyProtection="1"/>
    <xf numFmtId="0" fontId="28" fillId="0" borderId="0" xfId="0" applyFont="1" applyBorder="1" applyAlignment="1">
      <alignment horizontal="center" wrapText="1"/>
    </xf>
    <xf numFmtId="0" fontId="0" fillId="3" borderId="0" xfId="0" applyFill="1" applyBorder="1"/>
    <xf numFmtId="164" fontId="0" fillId="3" borderId="0" xfId="0" applyNumberFormat="1" applyFill="1" applyBorder="1" applyProtection="1"/>
    <xf numFmtId="164" fontId="0" fillId="3" borderId="0" xfId="0" applyNumberFormat="1" applyFill="1" applyBorder="1"/>
    <xf numFmtId="0" fontId="28" fillId="0" borderId="0" xfId="0" applyFont="1" applyBorder="1"/>
    <xf numFmtId="10" fontId="0" fillId="2" borderId="11" xfId="1" applyNumberFormat="1" applyFont="1" applyFill="1" applyBorder="1" applyProtection="1"/>
    <xf numFmtId="164" fontId="27" fillId="2" borderId="11" xfId="2" applyNumberFormat="1" applyFill="1" applyBorder="1" applyProtection="1"/>
    <xf numFmtId="0" fontId="27" fillId="2" borderId="11" xfId="2" applyFill="1" applyBorder="1" applyProtection="1"/>
    <xf numFmtId="164" fontId="27" fillId="3" borderId="13" xfId="2" applyNumberFormat="1" applyFill="1" applyBorder="1" applyProtection="1"/>
    <xf numFmtId="164" fontId="27" fillId="2" borderId="13" xfId="2" applyNumberFormat="1" applyFill="1" applyBorder="1" applyProtection="1"/>
    <xf numFmtId="164" fontId="27" fillId="5" borderId="11" xfId="2" applyNumberFormat="1" applyFill="1" applyBorder="1" applyProtection="1"/>
    <xf numFmtId="164" fontId="27" fillId="3" borderId="0" xfId="2" applyNumberFormat="1" applyFill="1" applyBorder="1" applyProtection="1"/>
    <xf numFmtId="10" fontId="27" fillId="2" borderId="11" xfId="1" applyNumberFormat="1" applyFont="1" applyFill="1" applyBorder="1" applyProtection="1"/>
    <xf numFmtId="0" fontId="28" fillId="0" borderId="0" xfId="0" applyFont="1" applyAlignment="1">
      <alignment horizontal="right"/>
    </xf>
    <xf numFmtId="0" fontId="0" fillId="0" borderId="0" xfId="0" applyFill="1" applyBorder="1"/>
    <xf numFmtId="0" fontId="0" fillId="0" borderId="0" xfId="0" applyFill="1"/>
    <xf numFmtId="0" fontId="0" fillId="0" borderId="0" xfId="0"/>
    <xf numFmtId="3" fontId="28" fillId="5" borderId="6" xfId="20" applyNumberFormat="1" applyFont="1" applyFill="1" applyBorder="1" applyAlignment="1">
      <alignment horizontal="right" vertical="center"/>
    </xf>
    <xf numFmtId="5" fontId="34" fillId="0" borderId="2" xfId="3" applyNumberFormat="1" applyFont="1" applyBorder="1" applyAlignment="1">
      <alignment horizontal="right"/>
    </xf>
    <xf numFmtId="0" fontId="26" fillId="0" borderId="11" xfId="3" applyBorder="1"/>
    <xf numFmtId="0" fontId="26" fillId="10" borderId="0" xfId="3" applyFill="1"/>
    <xf numFmtId="0" fontId="20" fillId="10" borderId="0" xfId="3" applyFont="1" applyFill="1"/>
    <xf numFmtId="9" fontId="26" fillId="10" borderId="0" xfId="1" applyNumberFormat="1" applyFont="1" applyFill="1"/>
    <xf numFmtId="10" fontId="26" fillId="10" borderId="0" xfId="1" applyNumberFormat="1" applyFont="1" applyFill="1"/>
    <xf numFmtId="0" fontId="40" fillId="10" borderId="0" xfId="3" applyFont="1" applyFill="1" applyBorder="1" applyAlignment="1">
      <alignment horizontal="left" vertical="center"/>
    </xf>
    <xf numFmtId="166" fontId="0" fillId="10" borderId="0" xfId="5" applyNumberFormat="1" applyFont="1" applyFill="1"/>
    <xf numFmtId="166" fontId="26" fillId="10" borderId="0" xfId="3" applyNumberFormat="1" applyFill="1"/>
    <xf numFmtId="9" fontId="0" fillId="10" borderId="0" xfId="6" applyFont="1" applyFill="1"/>
    <xf numFmtId="0" fontId="48" fillId="10" borderId="0" xfId="3" applyFont="1" applyFill="1"/>
    <xf numFmtId="38" fontId="26" fillId="10" borderId="0" xfId="3" applyNumberFormat="1" applyFill="1"/>
    <xf numFmtId="0" fontId="39" fillId="10" borderId="1" xfId="3" applyFont="1" applyFill="1" applyBorder="1" applyAlignment="1">
      <alignment horizontal="center"/>
    </xf>
    <xf numFmtId="0" fontId="39" fillId="10" borderId="1" xfId="3" applyFont="1" applyFill="1" applyBorder="1" applyAlignment="1">
      <alignment horizontal="center" wrapText="1"/>
    </xf>
    <xf numFmtId="5" fontId="26" fillId="10" borderId="0" xfId="3" applyNumberFormat="1" applyFill="1"/>
    <xf numFmtId="166" fontId="44" fillId="10" borderId="0" xfId="5" applyNumberFormat="1" applyFont="1" applyFill="1"/>
    <xf numFmtId="0" fontId="46" fillId="10" borderId="0" xfId="3" applyFont="1" applyFill="1"/>
    <xf numFmtId="38" fontId="46" fillId="10" borderId="0" xfId="3" applyNumberFormat="1" applyFont="1" applyFill="1"/>
    <xf numFmtId="5" fontId="46" fillId="10" borderId="0" xfId="3" applyNumberFormat="1" applyFont="1" applyFill="1"/>
    <xf numFmtId="0" fontId="26" fillId="10" borderId="0" xfId="3" applyFont="1" applyFill="1"/>
    <xf numFmtId="0" fontId="47" fillId="10" borderId="0" xfId="3" applyFont="1" applyFill="1"/>
    <xf numFmtId="166" fontId="46" fillId="10" borderId="0" xfId="3" applyNumberFormat="1" applyFont="1" applyFill="1"/>
    <xf numFmtId="168" fontId="43" fillId="10" borderId="0" xfId="8" applyNumberFormat="1" applyFont="1" applyFill="1"/>
    <xf numFmtId="44" fontId="46" fillId="10" borderId="0" xfId="8" applyFont="1" applyFill="1"/>
    <xf numFmtId="166" fontId="45" fillId="10" borderId="0" xfId="3" applyNumberFormat="1" applyFont="1" applyFill="1"/>
    <xf numFmtId="168" fontId="45" fillId="10" borderId="0" xfId="8" applyNumberFormat="1" applyFont="1" applyFill="1"/>
    <xf numFmtId="168" fontId="43" fillId="10" borderId="0" xfId="3" applyNumberFormat="1" applyFont="1" applyFill="1"/>
    <xf numFmtId="168" fontId="44" fillId="10" borderId="0" xfId="3" applyNumberFormat="1" applyFont="1" applyFill="1"/>
    <xf numFmtId="0" fontId="42" fillId="10" borderId="0" xfId="3" applyFont="1" applyFill="1"/>
    <xf numFmtId="10" fontId="41" fillId="10" borderId="0" xfId="6" applyNumberFormat="1" applyFont="1" applyFill="1"/>
    <xf numFmtId="0" fontId="9" fillId="0" borderId="0" xfId="7" applyFont="1"/>
    <xf numFmtId="0" fontId="38" fillId="0" borderId="0" xfId="7" applyFont="1"/>
    <xf numFmtId="38" fontId="9" fillId="0" borderId="0" xfId="7" applyNumberFormat="1" applyFont="1"/>
    <xf numFmtId="168" fontId="9" fillId="0" borderId="0" xfId="55" applyNumberFormat="1" applyFont="1"/>
    <xf numFmtId="167" fontId="34" fillId="0" borderId="2" xfId="3" applyNumberFormat="1" applyFont="1" applyFill="1" applyBorder="1"/>
    <xf numFmtId="167" fontId="34" fillId="0" borderId="2" xfId="8" applyNumberFormat="1" applyFont="1" applyFill="1" applyBorder="1"/>
    <xf numFmtId="10" fontId="34" fillId="0" borderId="2" xfId="6" applyNumberFormat="1" applyFont="1" applyFill="1" applyBorder="1" applyAlignment="1">
      <alignment horizontal="right"/>
    </xf>
    <xf numFmtId="0" fontId="26" fillId="0" borderId="1" xfId="3" applyFill="1" applyBorder="1" applyAlignment="1"/>
    <xf numFmtId="0" fontId="58" fillId="0" borderId="0" xfId="3" applyFont="1" applyFill="1"/>
    <xf numFmtId="0" fontId="26" fillId="0" borderId="0" xfId="3" applyFill="1" applyAlignment="1">
      <alignment wrapText="1"/>
    </xf>
    <xf numFmtId="0" fontId="40" fillId="0" borderId="0" xfId="0" applyFont="1" applyFill="1" applyBorder="1" applyAlignment="1">
      <alignment horizontal="left" vertical="center" wrapText="1"/>
    </xf>
    <xf numFmtId="9" fontId="26" fillId="0" borderId="0" xfId="1" applyNumberFormat="1" applyFont="1" applyFill="1"/>
    <xf numFmtId="9" fontId="26" fillId="0" borderId="0" xfId="3" applyNumberFormat="1" applyFill="1"/>
    <xf numFmtId="0" fontId="39" fillId="0" borderId="0" xfId="3" applyFont="1" applyFill="1"/>
    <xf numFmtId="0" fontId="26" fillId="0" borderId="2" xfId="3" applyFill="1" applyBorder="1" applyAlignment="1">
      <alignment horizontal="right"/>
    </xf>
    <xf numFmtId="0" fontId="20" fillId="0" borderId="2" xfId="3" applyFont="1" applyFill="1" applyBorder="1" applyAlignment="1">
      <alignment horizontal="right"/>
    </xf>
    <xf numFmtId="6" fontId="26" fillId="0" borderId="0" xfId="3" applyNumberFormat="1" applyFill="1"/>
    <xf numFmtId="0" fontId="26" fillId="0" borderId="3" xfId="3" applyFill="1" applyBorder="1" applyAlignment="1">
      <alignment horizontal="right"/>
    </xf>
    <xf numFmtId="0" fontId="26" fillId="0" borderId="2" xfId="3" applyFill="1" applyBorder="1" applyAlignment="1">
      <alignment horizontal="center" wrapText="1"/>
    </xf>
    <xf numFmtId="0" fontId="19" fillId="0" borderId="2" xfId="3" applyFont="1" applyFill="1" applyBorder="1" applyAlignment="1">
      <alignment horizontal="center" wrapText="1"/>
    </xf>
    <xf numFmtId="169" fontId="0" fillId="0" borderId="0" xfId="6" applyNumberFormat="1" applyFont="1" applyFill="1"/>
    <xf numFmtId="169" fontId="18" fillId="0" borderId="0" xfId="3" applyNumberFormat="1" applyFont="1" applyFill="1"/>
    <xf numFmtId="0" fontId="19" fillId="0" borderId="2" xfId="3" applyFont="1" applyFill="1" applyBorder="1" applyAlignment="1">
      <alignment horizontal="right"/>
    </xf>
    <xf numFmtId="0" fontId="19" fillId="0" borderId="2" xfId="3" applyFont="1" applyFill="1" applyBorder="1" applyAlignment="1">
      <alignment wrapText="1"/>
    </xf>
    <xf numFmtId="166" fontId="0" fillId="0" borderId="0" xfId="5" applyNumberFormat="1" applyFont="1" applyFill="1"/>
    <xf numFmtId="166" fontId="0" fillId="0" borderId="0" xfId="18" applyNumberFormat="1" applyFont="1"/>
    <xf numFmtId="168" fontId="26" fillId="0" borderId="0" xfId="3" applyNumberFormat="1"/>
    <xf numFmtId="167" fontId="0" fillId="0" borderId="0" xfId="6" applyNumberFormat="1" applyFont="1" applyAlignment="1"/>
    <xf numFmtId="3" fontId="0" fillId="0" borderId="0" xfId="0" applyNumberFormat="1" applyFill="1"/>
    <xf numFmtId="3" fontId="26" fillId="0" borderId="0" xfId="3" applyNumberFormat="1" applyBorder="1"/>
    <xf numFmtId="0" fontId="8" fillId="0" borderId="2" xfId="3" applyFont="1" applyFill="1" applyBorder="1" applyAlignment="1">
      <alignment horizontal="center" wrapText="1"/>
    </xf>
    <xf numFmtId="168" fontId="27" fillId="0" borderId="0" xfId="20" applyNumberFormat="1" applyFont="1" applyFill="1" applyBorder="1"/>
    <xf numFmtId="9" fontId="26" fillId="0" borderId="0" xfId="1" applyFont="1" applyFill="1"/>
    <xf numFmtId="166" fontId="0" fillId="0" borderId="0" xfId="5" applyNumberFormat="1" applyFont="1"/>
    <xf numFmtId="37" fontId="28" fillId="6" borderId="2" xfId="19" applyNumberFormat="1" applyFont="1" applyFill="1" applyBorder="1"/>
    <xf numFmtId="168" fontId="28" fillId="6" borderId="11" xfId="58" applyNumberFormat="1" applyFont="1" applyFill="1" applyBorder="1"/>
    <xf numFmtId="167" fontId="0" fillId="0" borderId="0" xfId="1" applyNumberFormat="1" applyFont="1" applyBorder="1"/>
    <xf numFmtId="169" fontId="26" fillId="0" borderId="0" xfId="1" applyNumberFormat="1" applyFont="1"/>
    <xf numFmtId="3" fontId="0" fillId="2" borderId="11" xfId="0" applyNumberFormat="1" applyFill="1" applyBorder="1" applyProtection="1"/>
    <xf numFmtId="0" fontId="34" fillId="0" borderId="0" xfId="3" applyFont="1" applyFill="1"/>
    <xf numFmtId="0" fontId="34" fillId="11" borderId="2" xfId="3" applyFont="1" applyFill="1" applyBorder="1" applyAlignment="1">
      <alignment horizontal="center" wrapText="1"/>
    </xf>
    <xf numFmtId="0" fontId="34" fillId="0" borderId="2" xfId="3" applyFont="1" applyFill="1" applyBorder="1" applyAlignment="1">
      <alignment horizontal="left" wrapText="1"/>
    </xf>
    <xf numFmtId="0" fontId="6" fillId="0" borderId="2" xfId="3" applyFont="1" applyFill="1" applyBorder="1" applyAlignment="1">
      <alignment horizontal="left" wrapText="1"/>
    </xf>
    <xf numFmtId="0" fontId="71" fillId="0" borderId="0" xfId="0" applyFont="1"/>
    <xf numFmtId="3" fontId="6" fillId="0" borderId="2" xfId="3" applyNumberFormat="1" applyFont="1" applyFill="1" applyBorder="1" applyAlignment="1"/>
    <xf numFmtId="5" fontId="6" fillId="0" borderId="2" xfId="19" applyNumberFormat="1" applyFont="1" applyFill="1" applyBorder="1" applyAlignment="1"/>
    <xf numFmtId="10" fontId="6" fillId="0" borderId="2" xfId="6" applyNumberFormat="1" applyFont="1" applyFill="1" applyBorder="1" applyAlignment="1"/>
    <xf numFmtId="167" fontId="6" fillId="0" borderId="2" xfId="19" applyNumberFormat="1" applyFont="1" applyFill="1" applyBorder="1" applyAlignment="1"/>
    <xf numFmtId="167" fontId="6" fillId="0" borderId="2" xfId="18" applyNumberFormat="1" applyFont="1" applyFill="1" applyBorder="1" applyAlignment="1"/>
    <xf numFmtId="166" fontId="34" fillId="0" borderId="2" xfId="18" applyNumberFormat="1" applyFont="1" applyFill="1" applyBorder="1" applyAlignment="1"/>
    <xf numFmtId="5" fontId="34" fillId="0" borderId="2" xfId="19" applyNumberFormat="1" applyFont="1" applyFill="1" applyBorder="1" applyAlignment="1"/>
    <xf numFmtId="9" fontId="34" fillId="0" borderId="2" xfId="1" applyFont="1" applyFill="1" applyBorder="1" applyAlignment="1"/>
    <xf numFmtId="167" fontId="34" fillId="0" borderId="2" xfId="18" applyNumberFormat="1" applyFont="1" applyFill="1" applyBorder="1" applyAlignment="1"/>
    <xf numFmtId="0" fontId="5" fillId="0" borderId="2" xfId="3" applyFont="1" applyFill="1" applyBorder="1" applyAlignment="1">
      <alignment wrapText="1"/>
    </xf>
    <xf numFmtId="2" fontId="0" fillId="2" borderId="11" xfId="0" applyNumberFormat="1" applyFill="1" applyBorder="1" applyProtection="1"/>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10" fontId="0" fillId="2" borderId="11" xfId="15" applyNumberFormat="1" applyFont="1" applyFill="1" applyBorder="1" applyProtection="1"/>
    <xf numFmtId="44" fontId="0" fillId="5" borderId="11" xfId="19" applyFont="1" applyFill="1" applyBorder="1" applyProtection="1"/>
    <xf numFmtId="44" fontId="0" fillId="3" borderId="13" xfId="19" applyFont="1" applyFill="1" applyBorder="1" applyProtection="1"/>
    <xf numFmtId="44" fontId="0" fillId="3" borderId="0" xfId="19" applyFont="1" applyFill="1" applyBorder="1" applyProtection="1"/>
    <xf numFmtId="166" fontId="0" fillId="2" borderId="11" xfId="18" applyNumberFormat="1" applyFont="1" applyFill="1" applyBorder="1" applyProtection="1"/>
    <xf numFmtId="44" fontId="0" fillId="2" borderId="11" xfId="19" applyFont="1" applyFill="1" applyBorder="1" applyProtection="1"/>
    <xf numFmtId="44" fontId="0" fillId="2" borderId="13" xfId="19" applyFont="1" applyFill="1" applyBorder="1" applyProtection="1"/>
    <xf numFmtId="167" fontId="0" fillId="5" borderId="11" xfId="0" applyNumberFormat="1" applyFill="1" applyBorder="1" applyProtection="1"/>
    <xf numFmtId="167" fontId="0" fillId="3" borderId="13" xfId="0" applyNumberFormat="1" applyFill="1" applyBorder="1" applyProtection="1"/>
    <xf numFmtId="167" fontId="0" fillId="3" borderId="0" xfId="0" applyNumberFormat="1" applyFill="1" applyBorder="1" applyProtection="1"/>
    <xf numFmtId="167" fontId="0" fillId="2" borderId="13" xfId="0" applyNumberFormat="1" applyFill="1" applyBorder="1" applyProtection="1"/>
    <xf numFmtId="167" fontId="27" fillId="2" borderId="13" xfId="2" applyNumberFormat="1" applyFill="1" applyBorder="1" applyProtection="1"/>
    <xf numFmtId="168" fontId="0" fillId="2" borderId="11" xfId="58" applyNumberFormat="1" applyFont="1" applyFill="1" applyBorder="1" applyProtection="1"/>
    <xf numFmtId="168" fontId="0" fillId="2" borderId="13" xfId="58" applyNumberFormat="1" applyFont="1" applyFill="1" applyBorder="1" applyProtection="1"/>
    <xf numFmtId="3" fontId="27" fillId="2" borderId="11" xfId="0" applyNumberFormat="1" applyFont="1" applyFill="1" applyBorder="1" applyProtection="1"/>
    <xf numFmtId="168" fontId="0" fillId="3" borderId="0" xfId="58" applyNumberFormat="1" applyFont="1" applyFill="1" applyBorder="1" applyProtection="1"/>
    <xf numFmtId="3" fontId="0" fillId="2" borderId="18" xfId="0" applyNumberFormat="1" applyFill="1" applyBorder="1" applyProtection="1"/>
    <xf numFmtId="0" fontId="0" fillId="0" borderId="0" xfId="0" applyFill="1" applyBorder="1" applyProtection="1"/>
    <xf numFmtId="0" fontId="0" fillId="0" borderId="0" xfId="0" applyProtection="1"/>
    <xf numFmtId="10" fontId="0" fillId="2" borderId="11" xfId="0" applyNumberFormat="1" applyFill="1" applyBorder="1" applyProtection="1"/>
    <xf numFmtId="167" fontId="0" fillId="0" borderId="0" xfId="0" applyNumberFormat="1" applyProtection="1"/>
    <xf numFmtId="3" fontId="80" fillId="2" borderId="11" xfId="0" applyNumberFormat="1" applyFont="1" applyFill="1" applyBorder="1" applyProtection="1"/>
    <xf numFmtId="164" fontId="80" fillId="2" borderId="11" xfId="0" applyNumberFormat="1" applyFont="1" applyFill="1" applyBorder="1" applyProtection="1"/>
    <xf numFmtId="168" fontId="80" fillId="2" borderId="11" xfId="19" applyNumberFormat="1" applyFont="1" applyFill="1" applyBorder="1" applyProtection="1"/>
    <xf numFmtId="168" fontId="80" fillId="3" borderId="13" xfId="19" applyNumberFormat="1" applyFont="1" applyFill="1" applyBorder="1" applyProtection="1"/>
    <xf numFmtId="168" fontId="80" fillId="3" borderId="0" xfId="19" applyNumberFormat="1" applyFont="1" applyFill="1" applyBorder="1" applyProtection="1"/>
    <xf numFmtId="0" fontId="80" fillId="2" borderId="11" xfId="0" applyFont="1" applyFill="1" applyBorder="1" applyProtection="1"/>
    <xf numFmtId="168" fontId="80" fillId="2" borderId="13" xfId="19" applyNumberFormat="1" applyFont="1" applyFill="1" applyBorder="1" applyProtection="1"/>
    <xf numFmtId="10" fontId="80" fillId="2" borderId="11" xfId="1" applyNumberFormat="1" applyFont="1" applyFill="1" applyBorder="1" applyProtection="1"/>
    <xf numFmtId="168" fontId="0" fillId="2" borderId="11" xfId="19" applyNumberFormat="1" applyFont="1" applyFill="1" applyBorder="1" applyProtection="1"/>
    <xf numFmtId="168" fontId="0" fillId="2" borderId="13" xfId="19" applyNumberFormat="1" applyFont="1" applyFill="1" applyBorder="1" applyProtection="1"/>
    <xf numFmtId="3" fontId="69" fillId="2" borderId="11" xfId="0" applyNumberFormat="1" applyFont="1" applyFill="1" applyBorder="1" applyProtection="1"/>
    <xf numFmtId="168" fontId="0" fillId="3" borderId="13" xfId="19" applyNumberFormat="1" applyFont="1" applyFill="1" applyBorder="1" applyProtection="1"/>
    <xf numFmtId="168" fontId="0" fillId="3" borderId="0" xfId="19" applyNumberFormat="1" applyFont="1" applyFill="1" applyBorder="1" applyProtection="1"/>
    <xf numFmtId="7" fontId="0" fillId="2" borderId="11" xfId="0" applyNumberFormat="1" applyFill="1" applyBorder="1" applyProtection="1"/>
    <xf numFmtId="166" fontId="0" fillId="5" borderId="11" xfId="84" applyNumberFormat="1" applyFont="1" applyFill="1" applyBorder="1" applyProtection="1"/>
    <xf numFmtId="166" fontId="0" fillId="2" borderId="11" xfId="84" applyNumberFormat="1" applyFont="1" applyFill="1" applyBorder="1" applyProtection="1"/>
    <xf numFmtId="166" fontId="0" fillId="0" borderId="0" xfId="84" applyNumberFormat="1" applyFont="1" applyFill="1" applyBorder="1" applyProtection="1"/>
    <xf numFmtId="168" fontId="0" fillId="0" borderId="0" xfId="58" applyNumberFormat="1" applyFont="1" applyFill="1" applyBorder="1" applyProtection="1"/>
    <xf numFmtId="168" fontId="0" fillId="5" borderId="11" xfId="58" applyNumberFormat="1" applyFont="1" applyFill="1" applyBorder="1" applyProtection="1"/>
    <xf numFmtId="0" fontId="36" fillId="0" borderId="28" xfId="0" applyNumberFormat="1" applyFont="1" applyBorder="1" applyAlignment="1"/>
    <xf numFmtId="0" fontId="36" fillId="8" borderId="28" xfId="0" applyNumberFormat="1" applyFont="1" applyFill="1" applyBorder="1" applyAlignment="1"/>
    <xf numFmtId="166" fontId="26" fillId="8" borderId="0" xfId="18" applyNumberFormat="1" applyFont="1" applyFill="1"/>
    <xf numFmtId="0" fontId="3" fillId="0" borderId="0" xfId="3" applyFont="1" applyFill="1"/>
    <xf numFmtId="0" fontId="34" fillId="11" borderId="28" xfId="3" applyFont="1" applyFill="1" applyBorder="1" applyAlignment="1">
      <alignment horizontal="center" wrapText="1"/>
    </xf>
    <xf numFmtId="167" fontId="59" fillId="0" borderId="28" xfId="55" applyNumberFormat="1" applyFont="1" applyBorder="1"/>
    <xf numFmtId="0" fontId="36" fillId="0" borderId="28" xfId="0" applyNumberFormat="1" applyFont="1" applyBorder="1" applyAlignment="1">
      <alignment horizontal="right"/>
    </xf>
    <xf numFmtId="167" fontId="71" fillId="11" borderId="28" xfId="55" applyNumberFormat="1" applyFont="1" applyFill="1" applyBorder="1"/>
    <xf numFmtId="0" fontId="2" fillId="11" borderId="28" xfId="7" applyFont="1" applyFill="1" applyBorder="1"/>
    <xf numFmtId="0" fontId="85" fillId="11" borderId="28" xfId="0" applyFont="1" applyFill="1" applyBorder="1" applyAlignment="1">
      <alignment horizontal="center" wrapText="1"/>
    </xf>
    <xf numFmtId="3" fontId="2" fillId="0" borderId="0" xfId="3" applyNumberFormat="1" applyFont="1" applyFill="1"/>
    <xf numFmtId="0" fontId="2" fillId="0" borderId="0" xfId="3" applyFont="1" applyFill="1"/>
    <xf numFmtId="0" fontId="2" fillId="0" borderId="0" xfId="3" applyFont="1" applyAlignment="1">
      <alignment horizontal="center" wrapText="1"/>
    </xf>
    <xf numFmtId="0" fontId="2" fillId="0" borderId="0" xfId="3" applyFont="1"/>
    <xf numFmtId="0" fontId="59" fillId="0" borderId="0" xfId="0" applyFont="1"/>
    <xf numFmtId="0" fontId="59" fillId="0" borderId="28" xfId="0" applyNumberFormat="1" applyFont="1" applyBorder="1" applyAlignment="1"/>
    <xf numFmtId="167" fontId="59" fillId="0" borderId="28" xfId="5" applyNumberFormat="1" applyFont="1" applyBorder="1"/>
    <xf numFmtId="0" fontId="59" fillId="0" borderId="28" xfId="0" applyNumberFormat="1" applyFont="1" applyBorder="1" applyAlignment="1">
      <alignment horizontal="right"/>
    </xf>
    <xf numFmtId="0" fontId="59" fillId="8" borderId="28" xfId="0" applyNumberFormat="1" applyFont="1" applyFill="1" applyBorder="1" applyAlignment="1"/>
    <xf numFmtId="0" fontId="71" fillId="11" borderId="28" xfId="7" applyFont="1" applyFill="1" applyBorder="1"/>
    <xf numFmtId="167" fontId="71" fillId="11" borderId="28" xfId="5" applyNumberFormat="1" applyFont="1" applyFill="1" applyBorder="1"/>
    <xf numFmtId="167" fontId="2" fillId="0" borderId="28" xfId="55" applyNumberFormat="1" applyFont="1" applyBorder="1"/>
    <xf numFmtId="167" fontId="59" fillId="0" borderId="0" xfId="0" applyNumberFormat="1" applyFont="1"/>
    <xf numFmtId="0" fontId="71" fillId="11" borderId="28" xfId="0" applyFont="1" applyFill="1" applyBorder="1" applyAlignment="1">
      <alignment horizontal="center"/>
    </xf>
    <xf numFmtId="0" fontId="59" fillId="11" borderId="28" xfId="0" applyFont="1" applyFill="1" applyBorder="1"/>
    <xf numFmtId="0" fontId="71" fillId="11" borderId="28" xfId="0" applyFont="1" applyFill="1" applyBorder="1"/>
    <xf numFmtId="167" fontId="71" fillId="11" borderId="28" xfId="0" applyNumberFormat="1" applyFont="1" applyFill="1" applyBorder="1"/>
    <xf numFmtId="0" fontId="34" fillId="11" borderId="28" xfId="7" applyFont="1" applyFill="1" applyBorder="1" applyAlignment="1">
      <alignment horizontal="center" wrapText="1"/>
    </xf>
    <xf numFmtId="168" fontId="34" fillId="11" borderId="28" xfId="55" applyNumberFormat="1" applyFont="1" applyFill="1" applyBorder="1" applyAlignment="1">
      <alignment horizontal="center" wrapText="1"/>
    </xf>
    <xf numFmtId="38" fontId="34" fillId="11" borderId="28" xfId="7" applyNumberFormat="1" applyFont="1" applyFill="1" applyBorder="1" applyAlignment="1">
      <alignment horizontal="center" wrapText="1"/>
    </xf>
    <xf numFmtId="37" fontId="34" fillId="11" borderId="28" xfId="7" applyNumberFormat="1" applyFont="1" applyFill="1" applyBorder="1" applyAlignment="1">
      <alignment horizontal="center" wrapText="1"/>
    </xf>
    <xf numFmtId="0" fontId="2" fillId="0" borderId="28" xfId="7" applyFont="1" applyBorder="1"/>
    <xf numFmtId="0" fontId="71" fillId="0" borderId="28" xfId="7" applyFont="1" applyBorder="1"/>
    <xf numFmtId="49" fontId="34" fillId="11" borderId="28" xfId="3" applyNumberFormat="1" applyFont="1" applyFill="1" applyBorder="1" applyAlignment="1">
      <alignment horizontal="center" wrapText="1"/>
    </xf>
    <xf numFmtId="167" fontId="34" fillId="11" borderId="28" xfId="3" applyNumberFormat="1" applyFont="1" applyFill="1" applyBorder="1" applyAlignment="1">
      <alignment horizontal="center" wrapText="1"/>
    </xf>
    <xf numFmtId="9" fontId="34" fillId="11" borderId="28" xfId="6" applyFont="1" applyFill="1" applyBorder="1" applyAlignment="1">
      <alignment horizontal="center" wrapText="1"/>
    </xf>
    <xf numFmtId="167" fontId="34" fillId="11" borderId="28" xfId="8" applyNumberFormat="1" applyFont="1" applyFill="1" applyBorder="1" applyAlignment="1">
      <alignment horizontal="center" wrapText="1"/>
    </xf>
    <xf numFmtId="3" fontId="26" fillId="0" borderId="28" xfId="3" applyNumberFormat="1" applyBorder="1" applyAlignment="1">
      <alignment horizontal="right"/>
    </xf>
    <xf numFmtId="167" fontId="26" fillId="0" borderId="28" xfId="3" applyNumberFormat="1" applyBorder="1" applyAlignment="1">
      <alignment horizontal="right"/>
    </xf>
    <xf numFmtId="5" fontId="26" fillId="0" borderId="28" xfId="3" applyNumberFormat="1" applyBorder="1" applyAlignment="1">
      <alignment horizontal="right"/>
    </xf>
    <xf numFmtId="10" fontId="26" fillId="0" borderId="28" xfId="3" applyNumberFormat="1" applyBorder="1" applyAlignment="1">
      <alignment horizontal="right"/>
    </xf>
    <xf numFmtId="5" fontId="0" fillId="0" borderId="28" xfId="5" applyNumberFormat="1" applyFont="1" applyFill="1" applyBorder="1"/>
    <xf numFmtId="167" fontId="0" fillId="0" borderId="28" xfId="8" applyNumberFormat="1" applyFont="1" applyFill="1" applyBorder="1"/>
    <xf numFmtId="10" fontId="0" fillId="0" borderId="28" xfId="6" applyNumberFormat="1" applyFont="1" applyFill="1" applyBorder="1"/>
    <xf numFmtId="3" fontId="26" fillId="8" borderId="28" xfId="3" applyNumberFormat="1" applyFill="1" applyBorder="1" applyAlignment="1">
      <alignment horizontal="right"/>
    </xf>
    <xf numFmtId="167" fontId="26" fillId="8" borderId="28" xfId="3" applyNumberFormat="1" applyFill="1" applyBorder="1" applyAlignment="1">
      <alignment horizontal="right"/>
    </xf>
    <xf numFmtId="5" fontId="26" fillId="8" borderId="28" xfId="3" applyNumberFormat="1" applyFill="1" applyBorder="1" applyAlignment="1">
      <alignment horizontal="right"/>
    </xf>
    <xf numFmtId="10" fontId="26" fillId="8" borderId="28" xfId="3" applyNumberFormat="1" applyFill="1" applyBorder="1" applyAlignment="1">
      <alignment horizontal="right"/>
    </xf>
    <xf numFmtId="0" fontId="26" fillId="0" borderId="28" xfId="3" applyBorder="1"/>
    <xf numFmtId="3" fontId="26" fillId="0" borderId="28" xfId="3" applyNumberFormat="1" applyFill="1" applyBorder="1" applyAlignment="1">
      <alignment horizontal="right"/>
    </xf>
    <xf numFmtId="167" fontId="26" fillId="0" borderId="28" xfId="3" applyNumberFormat="1" applyFill="1" applyBorder="1" applyAlignment="1">
      <alignment horizontal="right"/>
    </xf>
    <xf numFmtId="5" fontId="26" fillId="0" borderId="28" xfId="3" applyNumberFormat="1" applyFill="1" applyBorder="1" applyAlignment="1">
      <alignment horizontal="right"/>
    </xf>
    <xf numFmtId="10" fontId="26" fillId="0" borderId="28" xfId="3" applyNumberFormat="1" applyFill="1" applyBorder="1" applyAlignment="1">
      <alignment horizontal="right"/>
    </xf>
    <xf numFmtId="0" fontId="26" fillId="0" borderId="28" xfId="3" applyFill="1" applyBorder="1"/>
    <xf numFmtId="0" fontId="59" fillId="0" borderId="28" xfId="42" applyFont="1" applyBorder="1"/>
    <xf numFmtId="3" fontId="16" fillId="0" borderId="28" xfId="42" applyNumberFormat="1" applyBorder="1" applyAlignment="1">
      <alignment horizontal="right"/>
    </xf>
    <xf numFmtId="167" fontId="16" fillId="0" borderId="28" xfId="42" applyNumberFormat="1" applyBorder="1" applyAlignment="1">
      <alignment horizontal="right"/>
    </xf>
    <xf numFmtId="5" fontId="16" fillId="0" borderId="28" xfId="42" applyNumberFormat="1" applyBorder="1" applyAlignment="1">
      <alignment horizontal="right"/>
    </xf>
    <xf numFmtId="0" fontId="34" fillId="0" borderId="2" xfId="3" applyFont="1" applyBorder="1"/>
    <xf numFmtId="167" fontId="2" fillId="0" borderId="0" xfId="3" applyNumberFormat="1" applyFont="1"/>
    <xf numFmtId="167" fontId="28" fillId="6" borderId="6" xfId="19" applyNumberFormat="1" applyFont="1" applyFill="1" applyBorder="1"/>
    <xf numFmtId="3" fontId="0" fillId="2" borderId="11" xfId="58" applyNumberFormat="1" applyFont="1" applyFill="1" applyBorder="1" applyAlignment="1" applyProtection="1">
      <alignment horizontal="right"/>
    </xf>
    <xf numFmtId="0" fontId="59" fillId="0" borderId="11" xfId="42" applyFont="1" applyFill="1" applyBorder="1"/>
    <xf numFmtId="0" fontId="16" fillId="0" borderId="11" xfId="42" applyFont="1" applyFill="1" applyBorder="1"/>
    <xf numFmtId="3" fontId="16" fillId="0" borderId="2" xfId="42" applyNumberFormat="1" applyFill="1" applyBorder="1" applyAlignment="1">
      <alignment horizontal="right"/>
    </xf>
    <xf numFmtId="167" fontId="16" fillId="0" borderId="2" xfId="42" applyNumberFormat="1" applyFill="1" applyBorder="1" applyAlignment="1">
      <alignment horizontal="right"/>
    </xf>
    <xf numFmtId="5" fontId="16" fillId="0" borderId="2" xfId="42" applyNumberFormat="1" applyFill="1" applyBorder="1" applyAlignment="1">
      <alignment horizontal="right"/>
    </xf>
    <xf numFmtId="10" fontId="26" fillId="0" borderId="2" xfId="3" applyNumberFormat="1" applyFill="1" applyBorder="1" applyAlignment="1">
      <alignment horizontal="right"/>
    </xf>
    <xf numFmtId="5" fontId="0" fillId="0" borderId="2" xfId="5" applyNumberFormat="1" applyFont="1" applyFill="1" applyBorder="1"/>
    <xf numFmtId="167" fontId="0" fillId="0" borderId="2" xfId="8" applyNumberFormat="1" applyFont="1" applyFill="1" applyBorder="1"/>
    <xf numFmtId="10" fontId="0" fillId="0" borderId="2" xfId="6" applyNumberFormat="1" applyFont="1" applyFill="1" applyBorder="1"/>
    <xf numFmtId="0" fontId="16" fillId="0" borderId="0" xfId="42" applyFill="1" applyBorder="1"/>
    <xf numFmtId="169" fontId="16" fillId="0" borderId="0" xfId="1" applyNumberFormat="1" applyFont="1" applyFill="1" applyBorder="1"/>
    <xf numFmtId="167" fontId="59" fillId="0" borderId="28" xfId="55" applyNumberFormat="1" applyFont="1" applyBorder="1" applyAlignment="1">
      <alignment horizontal="center"/>
    </xf>
    <xf numFmtId="167" fontId="2" fillId="0" borderId="28" xfId="55" applyNumberFormat="1" applyFont="1" applyBorder="1" applyAlignment="1">
      <alignment horizontal="center"/>
    </xf>
    <xf numFmtId="167" fontId="71" fillId="0" borderId="28" xfId="55" applyNumberFormat="1" applyFont="1" applyBorder="1" applyAlignment="1">
      <alignment horizontal="center"/>
    </xf>
    <xf numFmtId="0" fontId="34" fillId="0" borderId="1" xfId="3" applyFont="1" applyFill="1" applyBorder="1" applyAlignment="1">
      <alignment horizontal="center" wrapText="1"/>
    </xf>
    <xf numFmtId="0" fontId="34" fillId="8" borderId="1" xfId="3" applyFont="1" applyFill="1" applyBorder="1" applyAlignment="1">
      <alignment horizontal="center"/>
    </xf>
    <xf numFmtId="0" fontId="34" fillId="0" borderId="0" xfId="3" applyFont="1" applyAlignment="1">
      <alignment horizontal="left"/>
    </xf>
    <xf numFmtId="0" fontId="4" fillId="0" borderId="0" xfId="3" applyFont="1" applyAlignment="1">
      <alignment horizontal="left" wrapText="1"/>
    </xf>
    <xf numFmtId="0" fontId="12" fillId="0" borderId="0" xfId="3" applyFont="1" applyAlignment="1">
      <alignment horizontal="left" wrapText="1"/>
    </xf>
    <xf numFmtId="49" fontId="56" fillId="0" borderId="0" xfId="20" applyNumberFormat="1" applyFont="1" applyFill="1" applyBorder="1" applyAlignment="1">
      <alignment horizontal="center"/>
    </xf>
    <xf numFmtId="49" fontId="30" fillId="2" borderId="3" xfId="0" applyNumberFormat="1" applyFont="1" applyFill="1" applyBorder="1" applyAlignment="1" applyProtection="1">
      <protection locked="0"/>
    </xf>
    <xf numFmtId="49" fontId="30" fillId="2" borderId="4" xfId="0" applyNumberFormat="1" applyFont="1" applyFill="1" applyBorder="1" applyAlignment="1" applyProtection="1">
      <protection locked="0"/>
    </xf>
    <xf numFmtId="49" fontId="30" fillId="2" borderId="5" xfId="0" applyNumberFormat="1" applyFont="1" applyFill="1" applyBorder="1" applyAlignment="1" applyProtection="1">
      <protection locked="0"/>
    </xf>
    <xf numFmtId="49" fontId="27" fillId="0" borderId="0" xfId="20" applyNumberFormat="1" applyFont="1" applyFill="1" applyBorder="1" applyAlignment="1" applyProtection="1">
      <protection locked="0"/>
    </xf>
    <xf numFmtId="49" fontId="27" fillId="0" borderId="9" xfId="20" applyNumberFormat="1" applyFont="1" applyFill="1" applyBorder="1" applyAlignment="1" applyProtection="1">
      <protection locked="0"/>
    </xf>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49" fontId="0" fillId="2" borderId="13" xfId="0" applyNumberFormat="1" applyFill="1" applyBorder="1" applyAlignment="1" applyProtection="1">
      <protection locked="0"/>
    </xf>
    <xf numFmtId="49" fontId="0" fillId="2" borderId="14" xfId="0" applyNumberFormat="1" applyFill="1" applyBorder="1" applyAlignment="1" applyProtection="1">
      <protection locked="0"/>
    </xf>
    <xf numFmtId="49" fontId="0" fillId="2" borderId="15" xfId="0" applyNumberFormat="1" applyFill="1" applyBorder="1" applyAlignment="1" applyProtection="1">
      <protection locked="0"/>
    </xf>
    <xf numFmtId="0" fontId="27" fillId="0" borderId="0" xfId="0" applyFont="1" applyAlignment="1"/>
    <xf numFmtId="0" fontId="28" fillId="0" borderId="10" xfId="0" applyFont="1" applyBorder="1" applyAlignment="1">
      <alignment wrapText="1"/>
    </xf>
    <xf numFmtId="0" fontId="0" fillId="0" borderId="10" xfId="0" applyBorder="1" applyAlignment="1">
      <alignment wrapText="1"/>
    </xf>
    <xf numFmtId="0" fontId="0" fillId="0" borderId="0" xfId="0" applyAlignment="1"/>
    <xf numFmtId="0" fontId="31" fillId="0" borderId="0" xfId="0" applyFont="1" applyAlignment="1">
      <alignment horizontal="center"/>
    </xf>
    <xf numFmtId="0" fontId="29" fillId="0" borderId="0" xfId="0" applyFont="1" applyAlignment="1">
      <alignment horizontal="center"/>
    </xf>
    <xf numFmtId="49" fontId="55" fillId="4" borderId="13" xfId="21" applyNumberFormat="1" applyFill="1" applyBorder="1" applyAlignment="1" applyProtection="1">
      <alignment shrinkToFit="1"/>
      <protection locked="0"/>
    </xf>
    <xf numFmtId="49" fontId="0" fillId="4" borderId="14" xfId="0" applyNumberFormat="1" applyFill="1" applyBorder="1" applyAlignment="1" applyProtection="1">
      <alignment shrinkToFit="1"/>
      <protection locked="0"/>
    </xf>
    <xf numFmtId="49" fontId="0" fillId="4" borderId="15" xfId="0" applyNumberFormat="1" applyFill="1" applyBorder="1" applyAlignment="1" applyProtection="1">
      <alignment shrinkToFit="1"/>
      <protection locked="0"/>
    </xf>
    <xf numFmtId="0" fontId="32" fillId="0" borderId="0" xfId="0" applyFont="1" applyFill="1" applyBorder="1" applyAlignment="1">
      <alignment vertical="justify" wrapText="1"/>
    </xf>
    <xf numFmtId="0" fontId="33" fillId="0" borderId="0" xfId="0" applyFont="1" applyAlignment="1">
      <alignment vertical="justify" wrapText="1"/>
    </xf>
    <xf numFmtId="0" fontId="33" fillId="0" borderId="0" xfId="0" applyFont="1" applyAlignment="1"/>
    <xf numFmtId="49" fontId="0" fillId="4" borderId="13" xfId="0" applyNumberFormat="1" applyFill="1" applyBorder="1" applyAlignment="1" applyProtection="1">
      <alignment shrinkToFit="1"/>
      <protection locked="0"/>
    </xf>
    <xf numFmtId="49" fontId="0" fillId="0" borderId="14" xfId="0" applyNumberFormat="1" applyBorder="1" applyAlignment="1" applyProtection="1">
      <alignment shrinkToFit="1"/>
      <protection locked="0"/>
    </xf>
    <xf numFmtId="49" fontId="0" fillId="0" borderId="15" xfId="0" applyNumberFormat="1" applyBorder="1" applyAlignment="1" applyProtection="1">
      <alignment shrinkToFit="1"/>
      <protection locked="0"/>
    </xf>
    <xf numFmtId="1" fontId="0" fillId="4" borderId="13" xfId="0" quotePrefix="1" applyNumberFormat="1" applyFill="1" applyBorder="1" applyAlignment="1" applyProtection="1">
      <alignment shrinkToFit="1"/>
      <protection locked="0"/>
    </xf>
    <xf numFmtId="0" fontId="0" fillId="0" borderId="14" xfId="0" applyBorder="1" applyAlignment="1" applyProtection="1">
      <alignment shrinkToFit="1"/>
      <protection locked="0"/>
    </xf>
    <xf numFmtId="0" fontId="0" fillId="0" borderId="15" xfId="0" applyBorder="1" applyAlignment="1" applyProtection="1">
      <alignment shrinkToFit="1"/>
      <protection locked="0"/>
    </xf>
    <xf numFmtId="3" fontId="0" fillId="4" borderId="13" xfId="0" applyNumberFormat="1" applyFill="1" applyBorder="1" applyAlignment="1" applyProtection="1">
      <alignment horizontal="left" shrinkToFit="1"/>
      <protection locked="0"/>
    </xf>
    <xf numFmtId="3" fontId="0" fillId="0" borderId="14" xfId="0" applyNumberFormat="1" applyBorder="1" applyAlignment="1" applyProtection="1">
      <alignment horizontal="left" shrinkToFit="1"/>
      <protection locked="0"/>
    </xf>
    <xf numFmtId="3" fontId="0" fillId="0" borderId="15" xfId="0" applyNumberFormat="1" applyBorder="1" applyAlignment="1" applyProtection="1">
      <alignment horizontal="left" shrinkToFit="1"/>
      <protection locked="0"/>
    </xf>
    <xf numFmtId="165" fontId="0" fillId="4" borderId="13" xfId="0" applyNumberFormat="1" applyFill="1" applyBorder="1" applyAlignment="1" applyProtection="1">
      <alignment shrinkToFit="1"/>
      <protection locked="0"/>
    </xf>
    <xf numFmtId="165" fontId="0" fillId="0" borderId="14" xfId="0" applyNumberFormat="1" applyBorder="1" applyAlignment="1" applyProtection="1">
      <alignment shrinkToFit="1"/>
      <protection locked="0"/>
    </xf>
    <xf numFmtId="165" fontId="0" fillId="0" borderId="15" xfId="0" applyNumberFormat="1" applyBorder="1" applyAlignment="1" applyProtection="1">
      <alignment shrinkToFit="1"/>
      <protection locked="0"/>
    </xf>
    <xf numFmtId="3" fontId="0" fillId="4" borderId="13" xfId="0" applyNumberFormat="1" applyFill="1" applyBorder="1" applyAlignment="1" applyProtection="1">
      <alignment horizontal="left" shrinkToFit="1"/>
    </xf>
    <xf numFmtId="3" fontId="0" fillId="0" borderId="14" xfId="0" applyNumberFormat="1" applyBorder="1" applyAlignment="1" applyProtection="1">
      <alignment horizontal="left" shrinkToFit="1"/>
    </xf>
    <xf numFmtId="3" fontId="0" fillId="0" borderId="15" xfId="0" applyNumberFormat="1" applyBorder="1" applyAlignment="1" applyProtection="1">
      <alignment horizontal="left" shrinkToFit="1"/>
    </xf>
    <xf numFmtId="1" fontId="80" fillId="4" borderId="11" xfId="0" quotePrefix="1" applyNumberFormat="1" applyFont="1" applyFill="1" applyBorder="1" applyAlignment="1" applyProtection="1">
      <alignment horizontal="left"/>
    </xf>
    <xf numFmtId="0" fontId="80" fillId="0" borderId="11" xfId="0" applyFont="1" applyBorder="1" applyAlignment="1" applyProtection="1">
      <alignment horizontal="left"/>
    </xf>
    <xf numFmtId="37" fontId="28" fillId="6" borderId="2" xfId="19" applyNumberFormat="1" applyFont="1" applyFill="1" applyBorder="1" applyProtection="1"/>
    <xf numFmtId="0" fontId="1" fillId="0" borderId="0" xfId="3" applyFont="1" applyFill="1"/>
    <xf numFmtId="164" fontId="0" fillId="2" borderId="11" xfId="0" applyNumberFormat="1" applyFill="1" applyBorder="1" applyAlignment="1" applyProtection="1">
      <alignment horizontal="right"/>
    </xf>
    <xf numFmtId="164" fontId="0" fillId="0" borderId="11" xfId="0" applyNumberFormat="1" applyFill="1" applyBorder="1" applyProtection="1"/>
    <xf numFmtId="3" fontId="0" fillId="5" borderId="11" xfId="0" applyNumberFormat="1" applyFill="1" applyBorder="1" applyProtection="1"/>
    <xf numFmtId="164" fontId="0" fillId="5" borderId="13" xfId="0" applyNumberFormat="1" applyFill="1" applyBorder="1" applyProtection="1"/>
    <xf numFmtId="1" fontId="0" fillId="2" borderId="11" xfId="0" applyNumberFormat="1" applyFill="1" applyBorder="1" applyProtection="1"/>
    <xf numFmtId="49" fontId="27" fillId="2" borderId="22" xfId="0" applyNumberFormat="1" applyFont="1" applyFill="1" applyBorder="1" applyAlignment="1" applyProtection="1"/>
    <xf numFmtId="49" fontId="0" fillId="2" borderId="10" xfId="0" applyNumberFormat="1" applyFill="1" applyBorder="1" applyAlignment="1" applyProtection="1"/>
    <xf numFmtId="49" fontId="0" fillId="2" borderId="15" xfId="0" applyNumberFormat="1" applyFill="1" applyBorder="1" applyAlignment="1" applyProtection="1"/>
    <xf numFmtId="49" fontId="27" fillId="2" borderId="13" xfId="0" applyNumberFormat="1" applyFont="1" applyFill="1" applyBorder="1" applyAlignment="1" applyProtection="1"/>
    <xf numFmtId="49" fontId="0" fillId="2" borderId="14" xfId="0" applyNumberFormat="1" applyFill="1" applyBorder="1" applyAlignment="1" applyProtection="1"/>
    <xf numFmtId="49" fontId="0" fillId="2" borderId="15" xfId="0" applyNumberFormat="1" applyFill="1" applyBorder="1" applyAlignment="1" applyProtection="1"/>
    <xf numFmtId="49" fontId="27" fillId="2" borderId="13" xfId="0" applyNumberFormat="1" applyFont="1" applyFill="1" applyBorder="1" applyAlignment="1" applyProtection="1"/>
    <xf numFmtId="49" fontId="0" fillId="2" borderId="14" xfId="0" applyNumberFormat="1" applyFill="1" applyBorder="1" applyAlignment="1" applyProtection="1"/>
    <xf numFmtId="49" fontId="0" fillId="2" borderId="13" xfId="0" applyNumberFormat="1" applyFill="1" applyBorder="1" applyAlignment="1" applyProtection="1"/>
    <xf numFmtId="0" fontId="27" fillId="0" borderId="0" xfId="0" applyFont="1" applyProtection="1"/>
    <xf numFmtId="49" fontId="0" fillId="2" borderId="13" xfId="0" applyNumberFormat="1" applyFill="1" applyBorder="1" applyAlignment="1" applyProtection="1"/>
    <xf numFmtId="0" fontId="28" fillId="0" borderId="0" xfId="0" applyFont="1" applyProtection="1"/>
    <xf numFmtId="3" fontId="0" fillId="2" borderId="17" xfId="0" applyNumberFormat="1" applyFill="1" applyBorder="1" applyProtection="1"/>
    <xf numFmtId="164" fontId="0" fillId="2" borderId="17" xfId="0" applyNumberFormat="1" applyFill="1" applyBorder="1" applyProtection="1"/>
    <xf numFmtId="49" fontId="0" fillId="2" borderId="22" xfId="0" applyNumberFormat="1" applyFill="1" applyBorder="1" applyAlignment="1" applyProtection="1"/>
    <xf numFmtId="49" fontId="0" fillId="2" borderId="10" xfId="0" applyNumberFormat="1" applyFill="1" applyBorder="1" applyAlignment="1" applyProtection="1"/>
    <xf numFmtId="49" fontId="0" fillId="2" borderId="16" xfId="0" applyNumberFormat="1" applyFill="1" applyBorder="1" applyAlignment="1" applyProtection="1"/>
    <xf numFmtId="3" fontId="0" fillId="3" borderId="0" xfId="0" applyNumberFormat="1" applyFill="1" applyBorder="1" applyProtection="1"/>
    <xf numFmtId="164" fontId="0" fillId="3" borderId="11" xfId="0" applyNumberFormat="1" applyFill="1" applyBorder="1" applyProtection="1"/>
    <xf numFmtId="164" fontId="0" fillId="2" borderId="18" xfId="0" applyNumberFormat="1" applyFill="1" applyBorder="1" applyProtection="1"/>
    <xf numFmtId="0" fontId="0" fillId="0" borderId="0" xfId="0" applyAlignment="1" applyProtection="1">
      <alignment horizontal="left"/>
    </xf>
    <xf numFmtId="0" fontId="0" fillId="0" borderId="0" xfId="0" applyAlignment="1" applyProtection="1">
      <alignment horizontal="centerContinuous"/>
    </xf>
    <xf numFmtId="0" fontId="28" fillId="0" borderId="0" xfId="0" applyFont="1" applyAlignment="1" applyProtection="1">
      <alignment horizontal="centerContinuous"/>
    </xf>
    <xf numFmtId="0" fontId="31" fillId="0" borderId="0" xfId="0" applyFont="1" applyAlignment="1" applyProtection="1">
      <alignment horizontal="center"/>
    </xf>
    <xf numFmtId="0" fontId="29" fillId="0" borderId="0" xfId="0" applyFont="1" applyAlignment="1" applyProtection="1">
      <alignment horizontal="center"/>
    </xf>
    <xf numFmtId="0" fontId="28" fillId="0" borderId="0" xfId="0" applyFont="1" applyAlignment="1" applyProtection="1">
      <alignment horizontal="right"/>
    </xf>
    <xf numFmtId="49" fontId="0" fillId="4" borderId="13" xfId="0" applyNumberFormat="1" applyFill="1" applyBorder="1" applyAlignment="1" applyProtection="1">
      <alignment shrinkToFit="1"/>
    </xf>
    <xf numFmtId="49" fontId="0" fillId="0" borderId="14" xfId="0" applyNumberFormat="1" applyBorder="1" applyAlignment="1" applyProtection="1">
      <alignment shrinkToFit="1"/>
    </xf>
    <xf numFmtId="49" fontId="0" fillId="0" borderId="15" xfId="0" applyNumberFormat="1" applyBorder="1" applyAlignment="1" applyProtection="1">
      <alignment shrinkToFit="1"/>
    </xf>
    <xf numFmtId="1" fontId="0" fillId="4" borderId="13" xfId="0" quotePrefix="1" applyNumberFormat="1" applyFill="1" applyBorder="1" applyAlignment="1" applyProtection="1">
      <alignment shrinkToFit="1"/>
    </xf>
    <xf numFmtId="0" fontId="0" fillId="0" borderId="14" xfId="0" applyBorder="1" applyAlignment="1" applyProtection="1">
      <alignment shrinkToFit="1"/>
    </xf>
    <xf numFmtId="0" fontId="0" fillId="0" borderId="15" xfId="0" applyBorder="1" applyAlignment="1" applyProtection="1">
      <alignment shrinkToFit="1"/>
    </xf>
    <xf numFmtId="3" fontId="0" fillId="9" borderId="13" xfId="0" applyNumberFormat="1" applyFill="1" applyBorder="1" applyAlignment="1" applyProtection="1">
      <alignment horizontal="left" shrinkToFit="1"/>
    </xf>
    <xf numFmtId="3" fontId="0" fillId="9" borderId="14" xfId="0" applyNumberFormat="1" applyFill="1" applyBorder="1" applyAlignment="1" applyProtection="1">
      <alignment horizontal="left" shrinkToFit="1"/>
    </xf>
    <xf numFmtId="3" fontId="0" fillId="9" borderId="15" xfId="0" applyNumberFormat="1" applyFill="1" applyBorder="1" applyAlignment="1" applyProtection="1">
      <alignment horizontal="left" shrinkToFit="1"/>
    </xf>
    <xf numFmtId="165" fontId="0" fillId="4" borderId="13" xfId="0" applyNumberFormat="1" applyFill="1" applyBorder="1" applyAlignment="1" applyProtection="1">
      <alignment shrinkToFit="1"/>
    </xf>
    <xf numFmtId="165" fontId="0" fillId="0" borderId="14" xfId="0" applyNumberFormat="1" applyBorder="1" applyAlignment="1" applyProtection="1">
      <alignment shrinkToFit="1"/>
    </xf>
    <xf numFmtId="165" fontId="0" fillId="0" borderId="15" xfId="0" applyNumberFormat="1" applyBorder="1" applyAlignment="1" applyProtection="1">
      <alignment shrinkToFit="1"/>
    </xf>
    <xf numFmtId="49" fontId="0" fillId="4" borderId="14" xfId="0" applyNumberFormat="1" applyFill="1" applyBorder="1" applyAlignment="1" applyProtection="1">
      <alignment shrinkToFit="1"/>
    </xf>
    <xf numFmtId="49" fontId="0" fillId="4" borderId="15" xfId="0" applyNumberFormat="1" applyFill="1" applyBorder="1" applyAlignment="1" applyProtection="1">
      <alignment shrinkToFit="1"/>
    </xf>
    <xf numFmtId="0" fontId="32" fillId="0" borderId="0" xfId="0" applyFont="1" applyFill="1" applyBorder="1" applyAlignment="1" applyProtection="1">
      <alignment vertical="justify" wrapText="1"/>
    </xf>
    <xf numFmtId="0" fontId="33" fillId="0" borderId="0" xfId="0" applyFont="1" applyAlignment="1" applyProtection="1">
      <alignment vertical="justify" wrapText="1"/>
    </xf>
    <xf numFmtId="0" fontId="33" fillId="0" borderId="0" xfId="0" applyFont="1" applyAlignment="1" applyProtection="1"/>
    <xf numFmtId="0" fontId="29" fillId="0" borderId="0" xfId="0" applyFont="1" applyFill="1" applyBorder="1" applyAlignment="1" applyProtection="1">
      <alignment horizontal="left"/>
    </xf>
    <xf numFmtId="0" fontId="28" fillId="0" borderId="0" xfId="0" applyFont="1" applyAlignment="1" applyProtection="1">
      <alignment horizontal="center" wrapText="1"/>
    </xf>
    <xf numFmtId="0" fontId="28" fillId="0" borderId="0" xfId="0" applyFont="1" applyAlignment="1" applyProtection="1">
      <alignment horizontal="left"/>
    </xf>
    <xf numFmtId="49" fontId="30" fillId="2" borderId="13" xfId="0" applyNumberFormat="1" applyFont="1" applyFill="1" applyBorder="1" applyAlignment="1" applyProtection="1"/>
    <xf numFmtId="49" fontId="30" fillId="2" borderId="14" xfId="0" applyNumberFormat="1" applyFont="1" applyFill="1" applyBorder="1" applyAlignment="1" applyProtection="1"/>
    <xf numFmtId="49" fontId="30" fillId="2" borderId="15" xfId="0" applyNumberFormat="1" applyFont="1" applyFill="1" applyBorder="1" applyAlignment="1" applyProtection="1"/>
    <xf numFmtId="49" fontId="30" fillId="2" borderId="13" xfId="0" applyNumberFormat="1" applyFont="1" applyFill="1" applyBorder="1" applyAlignment="1" applyProtection="1"/>
    <xf numFmtId="49" fontId="30" fillId="2" borderId="14" xfId="0" applyNumberFormat="1" applyFont="1" applyFill="1" applyBorder="1" applyAlignment="1" applyProtection="1"/>
    <xf numFmtId="49" fontId="30" fillId="2" borderId="15" xfId="0" applyNumberFormat="1" applyFont="1" applyFill="1" applyBorder="1" applyAlignment="1" applyProtection="1"/>
    <xf numFmtId="3" fontId="0" fillId="0" borderId="12" xfId="0" applyNumberFormat="1" applyFill="1" applyBorder="1" applyProtection="1"/>
    <xf numFmtId="164" fontId="0" fillId="0" borderId="12" xfId="0" applyNumberFormat="1" applyFill="1" applyBorder="1" applyProtection="1"/>
    <xf numFmtId="164" fontId="0" fillId="3" borderId="19" xfId="0" applyNumberFormat="1" applyFill="1" applyBorder="1" applyProtection="1"/>
    <xf numFmtId="0" fontId="27" fillId="0" borderId="0" xfId="0" applyFont="1" applyAlignment="1" applyProtection="1"/>
    <xf numFmtId="0" fontId="0" fillId="0" borderId="0" xfId="0" applyAlignment="1" applyProtection="1"/>
    <xf numFmtId="0" fontId="27" fillId="0" borderId="0" xfId="0" applyFont="1" applyBorder="1" applyProtection="1"/>
    <xf numFmtId="0" fontId="0" fillId="0" borderId="0" xfId="0" applyBorder="1" applyProtection="1"/>
    <xf numFmtId="0" fontId="0" fillId="0" borderId="12" xfId="0" applyBorder="1" applyProtection="1"/>
    <xf numFmtId="0" fontId="28" fillId="0" borderId="10" xfId="0" applyFont="1" applyBorder="1" applyAlignment="1" applyProtection="1">
      <alignment wrapText="1"/>
    </xf>
    <xf numFmtId="0" fontId="0" fillId="0" borderId="10" xfId="0" applyBorder="1" applyAlignment="1" applyProtection="1">
      <alignment wrapText="1"/>
    </xf>
    <xf numFmtId="49" fontId="35" fillId="2" borderId="22" xfId="4" applyNumberFormat="1" applyFill="1" applyBorder="1" applyAlignment="1" applyProtection="1"/>
    <xf numFmtId="49" fontId="35" fillId="2" borderId="10" xfId="4" applyNumberFormat="1" applyFill="1" applyBorder="1" applyAlignment="1" applyProtection="1"/>
    <xf numFmtId="49" fontId="35" fillId="2" borderId="15" xfId="4" applyNumberFormat="1" applyFill="1" applyBorder="1" applyAlignment="1" applyProtection="1"/>
    <xf numFmtId="49" fontId="35" fillId="2" borderId="13" xfId="4" applyNumberFormat="1" applyFill="1" applyBorder="1" applyAlignment="1" applyProtection="1"/>
    <xf numFmtId="49" fontId="35" fillId="2" borderId="14" xfId="4" applyNumberFormat="1" applyFill="1" applyBorder="1" applyAlignment="1" applyProtection="1"/>
    <xf numFmtId="49" fontId="35" fillId="2" borderId="15" xfId="4" applyNumberFormat="1" applyFill="1" applyBorder="1" applyAlignment="1" applyProtection="1"/>
    <xf numFmtId="0" fontId="0" fillId="0" borderId="20" xfId="0" applyBorder="1" applyProtection="1"/>
    <xf numFmtId="0" fontId="28" fillId="0" borderId="0" xfId="0" applyFont="1" applyBorder="1" applyAlignment="1" applyProtection="1">
      <alignment horizontal="center" wrapText="1"/>
    </xf>
    <xf numFmtId="0" fontId="0" fillId="3" borderId="0" xfId="0" applyFill="1" applyBorder="1" applyProtection="1"/>
    <xf numFmtId="0" fontId="28" fillId="0" borderId="0" xfId="0" applyFont="1" applyBorder="1" applyProtection="1"/>
    <xf numFmtId="0" fontId="0" fillId="0" borderId="10" xfId="0" applyBorder="1" applyAlignment="1" applyProtection="1">
      <alignment horizontal="left"/>
    </xf>
    <xf numFmtId="0" fontId="28" fillId="0" borderId="10" xfId="0" applyFont="1" applyBorder="1" applyProtection="1"/>
    <xf numFmtId="0" fontId="0" fillId="0" borderId="10" xfId="0" applyBorder="1" applyProtection="1"/>
    <xf numFmtId="3" fontId="0" fillId="3" borderId="17" xfId="0" applyNumberFormat="1" applyFill="1" applyBorder="1" applyProtection="1"/>
    <xf numFmtId="164" fontId="0" fillId="3" borderId="17" xfId="0" applyNumberFormat="1" applyFill="1" applyBorder="1" applyProtection="1"/>
    <xf numFmtId="3" fontId="0" fillId="2" borderId="21" xfId="0" applyNumberFormat="1" applyFill="1" applyBorder="1" applyProtection="1"/>
    <xf numFmtId="1" fontId="0" fillId="4" borderId="13" xfId="0" applyNumberFormat="1" applyFill="1" applyBorder="1" applyAlignment="1" applyProtection="1">
      <alignment shrinkToFit="1"/>
    </xf>
    <xf numFmtId="49" fontId="27" fillId="4" borderId="13" xfId="0" applyNumberFormat="1" applyFont="1" applyFill="1" applyBorder="1" applyAlignment="1" applyProtection="1">
      <alignment shrinkToFit="1"/>
    </xf>
    <xf numFmtId="165" fontId="27" fillId="4" borderId="13" xfId="0" applyNumberFormat="1" applyFont="1" applyFill="1" applyBorder="1" applyAlignment="1" applyProtection="1">
      <alignment shrinkToFit="1"/>
    </xf>
    <xf numFmtId="49" fontId="0" fillId="2" borderId="22" xfId="0" applyNumberFormat="1" applyFill="1" applyBorder="1" applyAlignment="1" applyProtection="1"/>
    <xf numFmtId="3" fontId="0" fillId="4" borderId="13" xfId="0" applyNumberFormat="1" applyFill="1" applyBorder="1" applyAlignment="1" applyProtection="1">
      <alignment shrinkToFit="1"/>
    </xf>
    <xf numFmtId="3" fontId="0" fillId="0" borderId="14" xfId="0" applyNumberFormat="1" applyBorder="1" applyAlignment="1" applyProtection="1">
      <alignment shrinkToFit="1"/>
    </xf>
    <xf numFmtId="3" fontId="0" fillId="0" borderId="15" xfId="0" applyNumberFormat="1" applyBorder="1" applyAlignment="1" applyProtection="1">
      <alignment shrinkToFit="1"/>
    </xf>
    <xf numFmtId="49" fontId="72" fillId="4" borderId="13" xfId="117" applyNumberFormat="1" applyFill="1" applyBorder="1" applyAlignment="1" applyProtection="1">
      <alignment shrinkToFit="1"/>
    </xf>
    <xf numFmtId="3" fontId="0" fillId="4" borderId="13" xfId="0" quotePrefix="1" applyNumberFormat="1" applyFill="1" applyBorder="1" applyAlignment="1" applyProtection="1">
      <alignment shrinkToFit="1"/>
    </xf>
    <xf numFmtId="165" fontId="0" fillId="4" borderId="13" xfId="0" quotePrefix="1" applyNumberFormat="1" applyFill="1" applyBorder="1" applyAlignment="1" applyProtection="1">
      <alignment shrinkToFit="1"/>
    </xf>
    <xf numFmtId="0" fontId="0" fillId="0" borderId="0" xfId="0" applyProtection="1"/>
    <xf numFmtId="3" fontId="0" fillId="0" borderId="0" xfId="0" applyNumberFormat="1" applyProtection="1"/>
    <xf numFmtId="10" fontId="28" fillId="5" borderId="11" xfId="0" applyNumberFormat="1" applyFont="1" applyFill="1" applyBorder="1" applyProtection="1"/>
    <xf numFmtId="44" fontId="0" fillId="0" borderId="0" xfId="19" applyFont="1" applyAlignment="1" applyProtection="1">
      <alignment horizontal="centerContinuous"/>
    </xf>
    <xf numFmtId="44" fontId="0" fillId="0" borderId="0" xfId="19" applyFont="1" applyProtection="1"/>
    <xf numFmtId="44" fontId="28" fillId="0" borderId="0" xfId="19" applyFont="1" applyAlignment="1" applyProtection="1">
      <alignment horizontal="center" wrapText="1"/>
    </xf>
    <xf numFmtId="44" fontId="0" fillId="0" borderId="11" xfId="19" applyFont="1" applyFill="1" applyBorder="1" applyProtection="1"/>
    <xf numFmtId="44" fontId="0" fillId="0" borderId="12" xfId="19" applyFont="1" applyFill="1" applyBorder="1" applyProtection="1"/>
    <xf numFmtId="44" fontId="0" fillId="3" borderId="19" xfId="19" applyFont="1" applyFill="1" applyBorder="1" applyProtection="1"/>
    <xf numFmtId="44" fontId="0" fillId="5" borderId="13" xfId="19" applyFont="1" applyFill="1" applyBorder="1" applyProtection="1"/>
    <xf numFmtId="44" fontId="0" fillId="0" borderId="12" xfId="19" applyFont="1" applyBorder="1" applyProtection="1"/>
    <xf numFmtId="44" fontId="0" fillId="0" borderId="20" xfId="19" applyFont="1" applyBorder="1" applyProtection="1"/>
    <xf numFmtId="44" fontId="28" fillId="0" borderId="0" xfId="19" applyFont="1" applyBorder="1" applyAlignment="1" applyProtection="1">
      <alignment horizontal="center" wrapText="1"/>
    </xf>
    <xf numFmtId="166" fontId="0" fillId="2" borderId="17" xfId="18" applyNumberFormat="1" applyFont="1" applyFill="1" applyBorder="1" applyProtection="1"/>
    <xf numFmtId="44" fontId="0" fillId="2" borderId="17" xfId="19" applyFont="1" applyFill="1" applyBorder="1" applyProtection="1"/>
    <xf numFmtId="166" fontId="0" fillId="3" borderId="0" xfId="18" applyNumberFormat="1" applyFont="1" applyFill="1" applyBorder="1" applyProtection="1"/>
    <xf numFmtId="44" fontId="0" fillId="3" borderId="11" xfId="19" applyFont="1" applyFill="1" applyBorder="1" applyProtection="1"/>
    <xf numFmtId="44" fontId="0" fillId="2" borderId="18" xfId="19" applyFont="1" applyFill="1" applyBorder="1" applyProtection="1"/>
    <xf numFmtId="164" fontId="0" fillId="0" borderId="0" xfId="0" applyNumberFormat="1" applyProtection="1"/>
    <xf numFmtId="44" fontId="0" fillId="3" borderId="17" xfId="19" applyFont="1" applyFill="1" applyBorder="1" applyProtection="1"/>
    <xf numFmtId="44" fontId="0" fillId="2" borderId="21" xfId="19" applyFont="1" applyFill="1" applyBorder="1" applyProtection="1"/>
    <xf numFmtId="0" fontId="27" fillId="0" borderId="0" xfId="2" applyAlignment="1" applyProtection="1">
      <alignment horizontal="left"/>
    </xf>
    <xf numFmtId="0" fontId="27" fillId="0" borderId="0" xfId="2" applyProtection="1"/>
    <xf numFmtId="0" fontId="27" fillId="0" borderId="0" xfId="2" applyAlignment="1" applyProtection="1">
      <alignment horizontal="centerContinuous"/>
    </xf>
    <xf numFmtId="0" fontId="28" fillId="0" borderId="0" xfId="2" applyFont="1" applyAlignment="1" applyProtection="1">
      <alignment horizontal="centerContinuous"/>
    </xf>
    <xf numFmtId="0" fontId="31" fillId="0" borderId="0" xfId="2" applyFont="1" applyAlignment="1" applyProtection="1">
      <alignment horizontal="center"/>
    </xf>
    <xf numFmtId="0" fontId="29" fillId="0" borderId="0" xfId="2" applyFont="1" applyAlignment="1" applyProtection="1">
      <alignment horizontal="center"/>
    </xf>
    <xf numFmtId="0" fontId="28" fillId="0" borderId="0" xfId="2" applyFont="1" applyProtection="1"/>
    <xf numFmtId="0" fontId="28" fillId="0" borderId="0" xfId="2" applyFont="1" applyAlignment="1" applyProtection="1">
      <alignment horizontal="right"/>
    </xf>
    <xf numFmtId="49" fontId="27" fillId="4" borderId="13" xfId="2" applyNumberFormat="1" applyFill="1" applyBorder="1" applyAlignment="1" applyProtection="1">
      <alignment shrinkToFit="1"/>
    </xf>
    <xf numFmtId="49" fontId="27" fillId="0" borderId="14" xfId="2" applyNumberFormat="1" applyBorder="1" applyAlignment="1" applyProtection="1">
      <alignment shrinkToFit="1"/>
    </xf>
    <xf numFmtId="49" fontId="27" fillId="0" borderId="15" xfId="2" applyNumberFormat="1" applyBorder="1" applyAlignment="1" applyProtection="1">
      <alignment shrinkToFit="1"/>
    </xf>
    <xf numFmtId="1" fontId="27" fillId="4" borderId="13" xfId="2" quotePrefix="1" applyNumberFormat="1" applyFill="1" applyBorder="1" applyAlignment="1" applyProtection="1">
      <alignment shrinkToFit="1"/>
    </xf>
    <xf numFmtId="1" fontId="27" fillId="4" borderId="14" xfId="2" quotePrefix="1" applyNumberFormat="1" applyFill="1" applyBorder="1" applyAlignment="1" applyProtection="1">
      <alignment shrinkToFit="1"/>
    </xf>
    <xf numFmtId="1" fontId="27" fillId="4" borderId="15" xfId="2" quotePrefix="1" applyNumberFormat="1" applyFill="1" applyBorder="1" applyAlignment="1" applyProtection="1">
      <alignment shrinkToFit="1"/>
    </xf>
    <xf numFmtId="3" fontId="27" fillId="4" borderId="13" xfId="2" applyNumberFormat="1" applyFill="1" applyBorder="1" applyAlignment="1" applyProtection="1">
      <alignment shrinkToFit="1"/>
    </xf>
    <xf numFmtId="3" fontId="27" fillId="0" borderId="14" xfId="2" applyNumberFormat="1" applyBorder="1" applyAlignment="1" applyProtection="1">
      <alignment shrinkToFit="1"/>
    </xf>
    <xf numFmtId="3" fontId="27" fillId="0" borderId="15" xfId="2" applyNumberFormat="1" applyBorder="1" applyAlignment="1" applyProtection="1">
      <alignment shrinkToFit="1"/>
    </xf>
    <xf numFmtId="165" fontId="27" fillId="4" borderId="13" xfId="2" applyNumberFormat="1" applyFill="1" applyBorder="1" applyAlignment="1" applyProtection="1">
      <alignment shrinkToFit="1"/>
    </xf>
    <xf numFmtId="165" fontId="27" fillId="0" borderId="14" xfId="2" applyNumberFormat="1" applyBorder="1" applyAlignment="1" applyProtection="1">
      <alignment shrinkToFit="1"/>
    </xf>
    <xf numFmtId="165" fontId="27" fillId="0" borderId="15" xfId="2" applyNumberFormat="1" applyBorder="1" applyAlignment="1" applyProtection="1">
      <alignment shrinkToFit="1"/>
    </xf>
    <xf numFmtId="49" fontId="51" fillId="4" borderId="13" xfId="16" applyNumberFormat="1" applyFill="1" applyBorder="1" applyAlignment="1" applyProtection="1">
      <alignment shrinkToFit="1"/>
    </xf>
    <xf numFmtId="49" fontId="27" fillId="4" borderId="14" xfId="2" applyNumberFormat="1" applyFill="1" applyBorder="1" applyAlignment="1" applyProtection="1">
      <alignment shrinkToFit="1"/>
    </xf>
    <xf numFmtId="0" fontId="32" fillId="0" borderId="0" xfId="2" applyFont="1" applyFill="1" applyBorder="1" applyAlignment="1" applyProtection="1">
      <alignment vertical="justify" wrapText="1"/>
    </xf>
    <xf numFmtId="0" fontId="33" fillId="0" borderId="0" xfId="2" applyFont="1" applyAlignment="1" applyProtection="1">
      <alignment vertical="justify" wrapText="1"/>
    </xf>
    <xf numFmtId="0" fontId="33" fillId="0" borderId="0" xfId="2" applyFont="1" applyAlignment="1" applyProtection="1"/>
    <xf numFmtId="0" fontId="29" fillId="0" borderId="0" xfId="2" applyFont="1" applyFill="1" applyBorder="1" applyAlignment="1" applyProtection="1">
      <alignment horizontal="left"/>
    </xf>
    <xf numFmtId="0" fontId="28" fillId="0" borderId="0" xfId="2" applyFont="1" applyAlignment="1" applyProtection="1">
      <alignment horizontal="center" wrapText="1"/>
    </xf>
    <xf numFmtId="0" fontId="28" fillId="0" borderId="0" xfId="2" applyFont="1" applyAlignment="1" applyProtection="1">
      <alignment horizontal="left"/>
    </xf>
    <xf numFmtId="0" fontId="27" fillId="0" borderId="0" xfId="2" applyFont="1" applyProtection="1"/>
    <xf numFmtId="49" fontId="30" fillId="2" borderId="13" xfId="2" applyNumberFormat="1" applyFont="1" applyFill="1" applyBorder="1" applyAlignment="1" applyProtection="1"/>
    <xf numFmtId="49" fontId="30" fillId="2" borderId="14" xfId="2" applyNumberFormat="1" applyFont="1" applyFill="1" applyBorder="1" applyAlignment="1" applyProtection="1"/>
    <xf numFmtId="49" fontId="30" fillId="2" borderId="15" xfId="2" applyNumberFormat="1" applyFont="1" applyFill="1" applyBorder="1" applyAlignment="1" applyProtection="1"/>
    <xf numFmtId="49" fontId="30" fillId="2" borderId="13" xfId="2" applyNumberFormat="1" applyFont="1" applyFill="1" applyBorder="1" applyAlignment="1" applyProtection="1"/>
    <xf numFmtId="49" fontId="30" fillId="2" borderId="14" xfId="2" applyNumberFormat="1" applyFont="1" applyFill="1" applyBorder="1" applyAlignment="1" applyProtection="1"/>
    <xf numFmtId="49" fontId="30" fillId="2" borderId="15" xfId="2" applyNumberFormat="1" applyFont="1" applyFill="1" applyBorder="1" applyAlignment="1" applyProtection="1"/>
    <xf numFmtId="164" fontId="27" fillId="0" borderId="11" xfId="2" applyNumberFormat="1" applyFill="1" applyBorder="1" applyProtection="1"/>
    <xf numFmtId="3" fontId="27" fillId="0" borderId="12" xfId="2" applyNumberFormat="1" applyFill="1" applyBorder="1" applyProtection="1"/>
    <xf numFmtId="164" fontId="27" fillId="0" borderId="12" xfId="2" applyNumberFormat="1" applyFill="1" applyBorder="1" applyProtection="1"/>
    <xf numFmtId="164" fontId="27" fillId="3" borderId="19" xfId="2" applyNumberFormat="1" applyFill="1" applyBorder="1" applyProtection="1"/>
    <xf numFmtId="0" fontId="27" fillId="0" borderId="0" xfId="2" applyFont="1" applyAlignment="1" applyProtection="1"/>
    <xf numFmtId="0" fontId="27" fillId="0" borderId="0" xfId="2" applyAlignment="1" applyProtection="1"/>
    <xf numFmtId="0" fontId="27" fillId="0" borderId="0" xfId="2" applyFont="1" applyBorder="1" applyProtection="1"/>
    <xf numFmtId="0" fontId="27" fillId="0" borderId="0" xfId="2" applyBorder="1" applyProtection="1"/>
    <xf numFmtId="0" fontId="27" fillId="0" borderId="12" xfId="2" applyBorder="1" applyProtection="1"/>
    <xf numFmtId="0" fontId="28" fillId="0" borderId="10" xfId="2" applyFont="1" applyBorder="1" applyAlignment="1" applyProtection="1">
      <alignment wrapText="1"/>
    </xf>
    <xf numFmtId="0" fontId="27" fillId="0" borderId="10" xfId="2" applyBorder="1" applyAlignment="1" applyProtection="1">
      <alignment wrapText="1"/>
    </xf>
    <xf numFmtId="49" fontId="27" fillId="2" borderId="22" xfId="2" applyNumberFormat="1" applyFill="1" applyBorder="1" applyAlignment="1" applyProtection="1"/>
    <xf numFmtId="49" fontId="27" fillId="2" borderId="10" xfId="2" applyNumberFormat="1" applyFill="1" applyBorder="1" applyAlignment="1" applyProtection="1"/>
    <xf numFmtId="49" fontId="27" fillId="2" borderId="15" xfId="2" applyNumberFormat="1" applyFill="1" applyBorder="1" applyAlignment="1" applyProtection="1"/>
    <xf numFmtId="49" fontId="27" fillId="2" borderId="13" xfId="2" applyNumberFormat="1" applyFill="1" applyBorder="1" applyAlignment="1" applyProtection="1"/>
    <xf numFmtId="49" fontId="27" fillId="2" borderId="14" xfId="2" applyNumberFormat="1" applyFill="1" applyBorder="1" applyAlignment="1" applyProtection="1"/>
    <xf numFmtId="0" fontId="52" fillId="5" borderId="13" xfId="0" applyFont="1" applyFill="1" applyBorder="1" applyAlignment="1" applyProtection="1">
      <alignment horizontal="left" wrapText="1" shrinkToFit="1"/>
    </xf>
    <xf numFmtId="0" fontId="0" fillId="0" borderId="14" xfId="0" applyBorder="1" applyAlignment="1" applyProtection="1"/>
    <xf numFmtId="0" fontId="0" fillId="0" borderId="15" xfId="0" applyBorder="1" applyAlignment="1" applyProtection="1"/>
    <xf numFmtId="0" fontId="0" fillId="5" borderId="14" xfId="0" applyFill="1" applyBorder="1" applyAlignment="1" applyProtection="1"/>
    <xf numFmtId="0" fontId="0" fillId="5" borderId="15" xfId="0" applyFill="1" applyBorder="1" applyAlignment="1" applyProtection="1"/>
    <xf numFmtId="0" fontId="27" fillId="0" borderId="20" xfId="2" applyBorder="1" applyProtection="1"/>
    <xf numFmtId="0" fontId="28" fillId="0" borderId="0" xfId="2" applyFont="1" applyBorder="1" applyAlignment="1" applyProtection="1">
      <alignment horizontal="center" wrapText="1"/>
    </xf>
    <xf numFmtId="0" fontId="27" fillId="3" borderId="0" xfId="2" applyFill="1" applyBorder="1" applyProtection="1"/>
    <xf numFmtId="49" fontId="27" fillId="2" borderId="13" xfId="2" applyNumberFormat="1" applyFill="1" applyBorder="1" applyAlignment="1" applyProtection="1"/>
    <xf numFmtId="49" fontId="27" fillId="2" borderId="14" xfId="2" applyNumberFormat="1" applyFill="1" applyBorder="1" applyAlignment="1" applyProtection="1"/>
    <xf numFmtId="49" fontId="27" fillId="2" borderId="15" xfId="2" applyNumberFormat="1" applyFill="1" applyBorder="1" applyAlignment="1" applyProtection="1"/>
    <xf numFmtId="49" fontId="27" fillId="2" borderId="22" xfId="2" applyNumberFormat="1" applyFill="1" applyBorder="1" applyAlignment="1" applyProtection="1"/>
    <xf numFmtId="49" fontId="27" fillId="2" borderId="10" xfId="2" applyNumberFormat="1" applyFill="1" applyBorder="1" applyAlignment="1" applyProtection="1"/>
    <xf numFmtId="49" fontId="27" fillId="2" borderId="16" xfId="2" applyNumberFormat="1" applyFill="1" applyBorder="1" applyAlignment="1" applyProtection="1"/>
    <xf numFmtId="3" fontId="27" fillId="3" borderId="0" xfId="2" applyNumberFormat="1" applyFill="1" applyBorder="1" applyProtection="1"/>
    <xf numFmtId="164" fontId="27" fillId="3" borderId="11" xfId="2" applyNumberFormat="1" applyFill="1" applyBorder="1" applyProtection="1"/>
    <xf numFmtId="0" fontId="28" fillId="0" borderId="0" xfId="2" applyFont="1" applyBorder="1" applyProtection="1"/>
    <xf numFmtId="0" fontId="27" fillId="0" borderId="10" xfId="2" applyBorder="1" applyAlignment="1" applyProtection="1">
      <alignment horizontal="left"/>
    </xf>
    <xf numFmtId="0" fontId="28" fillId="0" borderId="10" xfId="2" applyFont="1" applyBorder="1" applyProtection="1"/>
    <xf numFmtId="0" fontId="27" fillId="0" borderId="10" xfId="2" applyBorder="1" applyProtection="1"/>
    <xf numFmtId="0" fontId="27" fillId="0" borderId="0" xfId="2" applyFill="1" applyBorder="1" applyProtection="1"/>
    <xf numFmtId="10" fontId="27" fillId="5" borderId="11" xfId="2" applyNumberFormat="1" applyFill="1" applyBorder="1" applyProtection="1"/>
    <xf numFmtId="7" fontId="27" fillId="5" borderId="11" xfId="2" applyNumberFormat="1" applyFill="1" applyBorder="1" applyProtection="1"/>
    <xf numFmtId="3" fontId="27" fillId="2" borderId="17" xfId="2" applyNumberFormat="1" applyFill="1" applyBorder="1" applyProtection="1"/>
    <xf numFmtId="3" fontId="27" fillId="3" borderId="17" xfId="2" applyNumberFormat="1" applyFill="1" applyBorder="1" applyProtection="1"/>
    <xf numFmtId="164" fontId="27" fillId="3" borderId="17" xfId="2" applyNumberFormat="1" applyFill="1" applyBorder="1" applyProtection="1"/>
    <xf numFmtId="167" fontId="27" fillId="2" borderId="17" xfId="2" applyNumberFormat="1" applyFill="1" applyBorder="1" applyProtection="1"/>
    <xf numFmtId="3" fontId="27" fillId="2" borderId="21" xfId="2" applyNumberFormat="1" applyFill="1" applyBorder="1" applyProtection="1"/>
    <xf numFmtId="0" fontId="53" fillId="0" borderId="0" xfId="0" applyFont="1" applyAlignment="1" applyProtection="1">
      <alignment horizontal="left"/>
    </xf>
    <xf numFmtId="168" fontId="0" fillId="0" borderId="0" xfId="19" applyNumberFormat="1" applyFont="1" applyAlignment="1" applyProtection="1">
      <alignment horizontal="centerContinuous"/>
    </xf>
    <xf numFmtId="43" fontId="0" fillId="0" borderId="0" xfId="18" applyFont="1" applyProtection="1"/>
    <xf numFmtId="168" fontId="0" fillId="0" borderId="0" xfId="19" applyNumberFormat="1" applyFont="1" applyProtection="1"/>
    <xf numFmtId="0" fontId="54" fillId="0" borderId="0" xfId="0" applyFont="1" applyAlignment="1" applyProtection="1">
      <alignment horizontal="centerContinuous"/>
    </xf>
    <xf numFmtId="168" fontId="28" fillId="0" borderId="0" xfId="19" applyNumberFormat="1" applyFont="1" applyAlignment="1" applyProtection="1">
      <alignment horizontal="center" wrapText="1"/>
    </xf>
    <xf numFmtId="0" fontId="54" fillId="0" borderId="0" xfId="0" applyFont="1" applyAlignment="1" applyProtection="1">
      <alignment horizontal="left"/>
    </xf>
    <xf numFmtId="0" fontId="54" fillId="0" borderId="0" xfId="0" applyFont="1" applyAlignment="1" applyProtection="1">
      <alignment horizontal="right"/>
    </xf>
    <xf numFmtId="168" fontId="0" fillId="0" borderId="11" xfId="19" applyNumberFormat="1" applyFont="1" applyFill="1" applyBorder="1" applyProtection="1"/>
    <xf numFmtId="168" fontId="0" fillId="0" borderId="12" xfId="19" applyNumberFormat="1" applyFont="1" applyFill="1" applyBorder="1" applyProtection="1"/>
    <xf numFmtId="168" fontId="0" fillId="3" borderId="19" xfId="19" applyNumberFormat="1" applyFont="1" applyFill="1" applyBorder="1" applyProtection="1"/>
    <xf numFmtId="168" fontId="0" fillId="0" borderId="12" xfId="19" applyNumberFormat="1" applyFont="1" applyBorder="1" applyProtection="1"/>
    <xf numFmtId="49" fontId="27" fillId="2" borderId="22" xfId="0" applyNumberFormat="1" applyFont="1" applyFill="1" applyBorder="1" applyAlignment="1" applyProtection="1"/>
    <xf numFmtId="166" fontId="0" fillId="0" borderId="0" xfId="18" applyNumberFormat="1" applyFont="1" applyProtection="1"/>
    <xf numFmtId="166" fontId="27" fillId="0" borderId="0" xfId="18" applyNumberFormat="1" applyFont="1" applyProtection="1"/>
    <xf numFmtId="168" fontId="80" fillId="0" borderId="0" xfId="0" applyNumberFormat="1" applyFont="1" applyProtection="1"/>
    <xf numFmtId="0" fontId="80" fillId="0" borderId="0" xfId="0" applyFont="1" applyProtection="1"/>
    <xf numFmtId="49" fontId="84" fillId="2" borderId="14" xfId="0" applyNumberFormat="1" applyFont="1" applyFill="1" applyBorder="1" applyAlignment="1" applyProtection="1"/>
    <xf numFmtId="49" fontId="84" fillId="2" borderId="15" xfId="0" applyNumberFormat="1" applyFont="1" applyFill="1" applyBorder="1" applyAlignment="1" applyProtection="1"/>
    <xf numFmtId="168" fontId="0" fillId="0" borderId="20" xfId="19" applyNumberFormat="1" applyFont="1" applyBorder="1" applyProtection="1"/>
    <xf numFmtId="168" fontId="28" fillId="0" borderId="0" xfId="19" applyNumberFormat="1" applyFont="1" applyBorder="1" applyAlignment="1" applyProtection="1">
      <alignment horizontal="center" wrapText="1"/>
    </xf>
    <xf numFmtId="168" fontId="0" fillId="2" borderId="17" xfId="19" applyNumberFormat="1" applyFont="1" applyFill="1" applyBorder="1" applyProtection="1"/>
    <xf numFmtId="168" fontId="0" fillId="3" borderId="11" xfId="19" applyNumberFormat="1" applyFont="1" applyFill="1" applyBorder="1" applyProtection="1"/>
    <xf numFmtId="43" fontId="0" fillId="0" borderId="0" xfId="18" applyFont="1" applyBorder="1" applyProtection="1"/>
    <xf numFmtId="0" fontId="53" fillId="0" borderId="10" xfId="0" applyFont="1" applyBorder="1" applyAlignment="1" applyProtection="1">
      <alignment horizontal="left"/>
    </xf>
    <xf numFmtId="0" fontId="53" fillId="0" borderId="0" xfId="0" applyFont="1" applyProtection="1"/>
    <xf numFmtId="169" fontId="81" fillId="0" borderId="0" xfId="60" applyNumberFormat="1" applyFont="1" applyProtection="1"/>
    <xf numFmtId="168" fontId="0" fillId="3" borderId="17" xfId="19" applyNumberFormat="1" applyFont="1" applyFill="1" applyBorder="1" applyProtection="1"/>
    <xf numFmtId="43" fontId="80" fillId="0" borderId="0" xfId="59" applyFont="1" applyProtection="1"/>
    <xf numFmtId="168" fontId="0" fillId="2" borderId="21" xfId="19" applyNumberFormat="1" applyFont="1" applyFill="1" applyBorder="1" applyProtection="1"/>
    <xf numFmtId="1" fontId="27" fillId="4" borderId="13" xfId="0" quotePrefix="1" applyNumberFormat="1" applyFont="1" applyFill="1" applyBorder="1" applyAlignment="1" applyProtection="1">
      <alignment shrinkToFit="1"/>
    </xf>
    <xf numFmtId="0" fontId="63" fillId="0" borderId="0" xfId="0" applyFont="1" applyAlignment="1" applyProtection="1">
      <alignment horizontal="center"/>
    </xf>
    <xf numFmtId="0" fontId="63" fillId="0" borderId="0" xfId="0" applyFont="1" applyBorder="1" applyAlignment="1" applyProtection="1">
      <alignment horizontal="center"/>
    </xf>
    <xf numFmtId="0" fontId="73" fillId="0" borderId="0" xfId="0" applyFont="1" applyAlignment="1" applyProtection="1">
      <alignment horizontal="center"/>
    </xf>
    <xf numFmtId="165" fontId="0" fillId="4" borderId="14" xfId="0" applyNumberFormat="1" applyFill="1" applyBorder="1" applyAlignment="1" applyProtection="1">
      <alignment shrinkToFit="1"/>
    </xf>
    <xf numFmtId="165" fontId="0" fillId="4" borderId="15" xfId="0" applyNumberFormat="1" applyFill="1" applyBorder="1" applyAlignment="1" applyProtection="1">
      <alignment shrinkToFit="1"/>
    </xf>
    <xf numFmtId="49" fontId="55" fillId="4" borderId="13" xfId="21" applyNumberFormat="1" applyFill="1" applyBorder="1" applyAlignment="1" applyProtection="1">
      <alignment shrinkToFit="1"/>
    </xf>
    <xf numFmtId="49" fontId="27" fillId="2" borderId="14" xfId="0" applyNumberFormat="1" applyFont="1" applyFill="1" applyBorder="1" applyAlignment="1" applyProtection="1"/>
    <xf numFmtId="49" fontId="27" fillId="2" borderId="15" xfId="0" applyNumberFormat="1" applyFont="1" applyFill="1" applyBorder="1" applyAlignment="1" applyProtection="1"/>
    <xf numFmtId="1" fontId="27" fillId="4" borderId="13" xfId="0" applyNumberFormat="1" applyFont="1" applyFill="1" applyBorder="1" applyAlignment="1" applyProtection="1">
      <alignment shrinkToFit="1"/>
    </xf>
    <xf numFmtId="10" fontId="74" fillId="5" borderId="11" xfId="2" applyNumberFormat="1" applyFont="1" applyFill="1" applyBorder="1" applyProtection="1"/>
    <xf numFmtId="49" fontId="27" fillId="2" borderId="0" xfId="0" applyNumberFormat="1" applyFont="1" applyFill="1" applyBorder="1" applyAlignment="1" applyProtection="1"/>
    <xf numFmtId="49" fontId="0" fillId="2" borderId="0" xfId="0" applyNumberFormat="1" applyFill="1" applyBorder="1" applyAlignment="1" applyProtection="1"/>
    <xf numFmtId="3" fontId="0" fillId="2" borderId="0" xfId="0" applyNumberFormat="1" applyFill="1" applyBorder="1" applyProtection="1"/>
    <xf numFmtId="164" fontId="0" fillId="2" borderId="0" xfId="0" applyNumberFormat="1" applyFill="1" applyBorder="1" applyProtection="1"/>
    <xf numFmtId="49" fontId="0" fillId="2" borderId="0" xfId="0" applyNumberFormat="1" applyFont="1" applyFill="1" applyBorder="1" applyAlignment="1" applyProtection="1"/>
    <xf numFmtId="4" fontId="0" fillId="0" borderId="0" xfId="0" applyNumberFormat="1" applyProtection="1"/>
    <xf numFmtId="4" fontId="0" fillId="2" borderId="11" xfId="0" applyNumberFormat="1" applyFill="1" applyBorder="1" applyProtection="1"/>
    <xf numFmtId="166" fontId="0" fillId="0" borderId="0" xfId="84" applyNumberFormat="1" applyFont="1" applyAlignment="1" applyProtection="1">
      <alignment horizontal="centerContinuous"/>
    </xf>
    <xf numFmtId="168" fontId="0" fillId="0" borderId="0" xfId="58" applyNumberFormat="1" applyFont="1" applyAlignment="1" applyProtection="1">
      <alignment horizontal="centerContinuous"/>
    </xf>
    <xf numFmtId="168" fontId="0" fillId="0" borderId="0" xfId="58" applyNumberFormat="1" applyFont="1" applyProtection="1"/>
    <xf numFmtId="166" fontId="0" fillId="0" borderId="0" xfId="84" applyNumberFormat="1" applyFont="1" applyProtection="1"/>
    <xf numFmtId="166" fontId="28" fillId="0" borderId="0" xfId="84" applyNumberFormat="1" applyFont="1" applyAlignment="1" applyProtection="1">
      <alignment horizontal="center" wrapText="1"/>
    </xf>
    <xf numFmtId="168" fontId="28" fillId="0" borderId="0" xfId="58" applyNumberFormat="1" applyFont="1" applyAlignment="1" applyProtection="1">
      <alignment horizontal="center" wrapText="1"/>
    </xf>
    <xf numFmtId="168" fontId="0" fillId="5" borderId="13" xfId="58" applyNumberFormat="1" applyFont="1" applyFill="1" applyBorder="1" applyProtection="1"/>
    <xf numFmtId="166" fontId="0" fillId="0" borderId="11" xfId="84" applyNumberFormat="1" applyFont="1" applyFill="1" applyBorder="1" applyProtection="1"/>
    <xf numFmtId="0" fontId="28" fillId="0" borderId="0" xfId="0" applyFont="1" applyFill="1" applyAlignment="1" applyProtection="1">
      <alignment horizontal="left"/>
    </xf>
    <xf numFmtId="0" fontId="28" fillId="0" borderId="0" xfId="0" applyFont="1" applyFill="1" applyProtection="1"/>
    <xf numFmtId="0" fontId="0" fillId="0" borderId="0" xfId="0" applyFill="1" applyProtection="1"/>
    <xf numFmtId="3" fontId="0" fillId="0" borderId="20" xfId="0" applyNumberFormat="1" applyFill="1" applyBorder="1" applyProtection="1"/>
    <xf numFmtId="166" fontId="0" fillId="0" borderId="20" xfId="84" applyNumberFormat="1" applyFont="1" applyFill="1" applyBorder="1" applyProtection="1"/>
    <xf numFmtId="168" fontId="28" fillId="0" borderId="20" xfId="58" applyNumberFormat="1" applyFont="1" applyFill="1" applyBorder="1" applyProtection="1"/>
    <xf numFmtId="168" fontId="0" fillId="0" borderId="20" xfId="58" applyNumberFormat="1" applyFont="1" applyFill="1" applyBorder="1" applyProtection="1"/>
    <xf numFmtId="166" fontId="0" fillId="0" borderId="17" xfId="84" applyNumberFormat="1" applyFont="1" applyFill="1" applyBorder="1" applyProtection="1"/>
    <xf numFmtId="1" fontId="0" fillId="0" borderId="0" xfId="0" applyNumberFormat="1" applyFill="1" applyBorder="1" applyProtection="1"/>
    <xf numFmtId="1" fontId="0" fillId="0" borderId="20" xfId="0" applyNumberFormat="1" applyFill="1" applyBorder="1" applyProtection="1"/>
    <xf numFmtId="166" fontId="0" fillId="5" borderId="0" xfId="84" applyNumberFormat="1" applyFont="1" applyFill="1" applyBorder="1" applyProtection="1"/>
    <xf numFmtId="168" fontId="0" fillId="5" borderId="0" xfId="58" applyNumberFormat="1" applyFont="1" applyFill="1" applyBorder="1" applyProtection="1"/>
    <xf numFmtId="166" fontId="0" fillId="2" borderId="0" xfId="84" applyNumberFormat="1" applyFont="1" applyFill="1" applyBorder="1" applyProtection="1"/>
    <xf numFmtId="49" fontId="27" fillId="8" borderId="0" xfId="0" applyNumberFormat="1" applyFont="1" applyFill="1" applyBorder="1" applyAlignment="1" applyProtection="1"/>
    <xf numFmtId="49" fontId="0" fillId="8" borderId="0" xfId="0" applyNumberFormat="1" applyFill="1" applyBorder="1" applyAlignment="1" applyProtection="1"/>
    <xf numFmtId="0" fontId="0" fillId="8" borderId="0" xfId="0" applyFill="1" applyProtection="1"/>
    <xf numFmtId="3" fontId="0" fillId="8" borderId="0" xfId="0" applyNumberFormat="1" applyFill="1" applyBorder="1" applyProtection="1"/>
    <xf numFmtId="166" fontId="0" fillId="8" borderId="0" xfId="84" applyNumberFormat="1" applyFont="1" applyFill="1" applyBorder="1" applyProtection="1"/>
    <xf numFmtId="168" fontId="0" fillId="8" borderId="13" xfId="58" applyNumberFormat="1" applyFont="1" applyFill="1" applyBorder="1" applyProtection="1"/>
    <xf numFmtId="168" fontId="0" fillId="8" borderId="0" xfId="58" applyNumberFormat="1" applyFont="1" applyFill="1" applyBorder="1" applyProtection="1"/>
    <xf numFmtId="166" fontId="0" fillId="0" borderId="0" xfId="84" applyNumberFormat="1" applyFont="1" applyBorder="1" applyProtection="1"/>
    <xf numFmtId="168" fontId="0" fillId="0" borderId="0" xfId="58" applyNumberFormat="1" applyFont="1" applyBorder="1" applyProtection="1"/>
    <xf numFmtId="166" fontId="28" fillId="0" borderId="0" xfId="84" applyNumberFormat="1" applyFont="1" applyBorder="1" applyAlignment="1" applyProtection="1">
      <alignment horizontal="center" wrapText="1"/>
    </xf>
    <xf numFmtId="168" fontId="28" fillId="0" borderId="0" xfId="58" applyNumberFormat="1" applyFont="1" applyBorder="1" applyAlignment="1" applyProtection="1">
      <alignment horizontal="center" wrapText="1"/>
    </xf>
    <xf numFmtId="166" fontId="0" fillId="3" borderId="0" xfId="84" applyNumberFormat="1" applyFont="1" applyFill="1" applyBorder="1" applyProtection="1"/>
    <xf numFmtId="0" fontId="27" fillId="5" borderId="11" xfId="0" applyFont="1" applyFill="1" applyBorder="1" applyAlignment="1" applyProtection="1">
      <alignment horizontal="left"/>
    </xf>
    <xf numFmtId="166" fontId="0" fillId="5" borderId="17" xfId="84" applyNumberFormat="1" applyFont="1" applyFill="1" applyBorder="1" applyProtection="1"/>
    <xf numFmtId="168" fontId="0" fillId="5" borderId="17" xfId="58" applyNumberFormat="1" applyFont="1" applyFill="1" applyBorder="1" applyProtection="1"/>
    <xf numFmtId="166" fontId="0" fillId="3" borderId="11" xfId="84" applyNumberFormat="1" applyFont="1" applyFill="1" applyBorder="1" applyProtection="1"/>
    <xf numFmtId="0" fontId="28" fillId="0" borderId="0" xfId="0" applyFont="1" applyFill="1" applyBorder="1" applyAlignment="1" applyProtection="1">
      <alignment horizontal="right"/>
    </xf>
    <xf numFmtId="0" fontId="28" fillId="0" borderId="0" xfId="0" applyFont="1" applyFill="1" applyBorder="1" applyProtection="1"/>
    <xf numFmtId="166" fontId="0" fillId="5" borderId="18" xfId="84" applyNumberFormat="1" applyFont="1" applyFill="1" applyBorder="1" applyProtection="1"/>
    <xf numFmtId="168" fontId="0" fillId="5" borderId="18" xfId="58" applyNumberFormat="1" applyFont="1" applyFill="1" applyBorder="1" applyProtection="1"/>
    <xf numFmtId="3" fontId="0" fillId="0" borderId="0" xfId="0" applyNumberFormat="1" applyFill="1" applyBorder="1" applyProtection="1"/>
    <xf numFmtId="168" fontId="28" fillId="0" borderId="0" xfId="58" applyNumberFormat="1" applyFont="1" applyFill="1" applyBorder="1" applyProtection="1"/>
    <xf numFmtId="0" fontId="27" fillId="0" borderId="0" xfId="52" applyFont="1" applyFill="1" applyProtection="1"/>
    <xf numFmtId="0" fontId="11" fillId="0" borderId="0" xfId="52" applyFill="1" applyProtection="1"/>
    <xf numFmtId="10" fontId="11" fillId="5" borderId="11" xfId="52" applyNumberFormat="1" applyFill="1" applyBorder="1" applyProtection="1"/>
    <xf numFmtId="168" fontId="27" fillId="2" borderId="11" xfId="58" applyNumberFormat="1" applyFont="1" applyFill="1" applyBorder="1" applyProtection="1"/>
    <xf numFmtId="168" fontId="0" fillId="2" borderId="17" xfId="58" applyNumberFormat="1" applyFont="1" applyFill="1" applyBorder="1" applyProtection="1"/>
    <xf numFmtId="166" fontId="0" fillId="2" borderId="17" xfId="84" applyNumberFormat="1" applyFont="1" applyFill="1" applyBorder="1" applyProtection="1"/>
    <xf numFmtId="166" fontId="0" fillId="0" borderId="0" xfId="0" applyNumberFormat="1" applyProtection="1"/>
    <xf numFmtId="166" fontId="0" fillId="3" borderId="17" xfId="84" applyNumberFormat="1" applyFont="1" applyFill="1" applyBorder="1" applyProtection="1"/>
    <xf numFmtId="168" fontId="0" fillId="3" borderId="17" xfId="58" applyNumberFormat="1" applyFont="1" applyFill="1" applyBorder="1" applyProtection="1"/>
    <xf numFmtId="166" fontId="0" fillId="0" borderId="20" xfId="84" applyNumberFormat="1" applyFont="1" applyBorder="1" applyProtection="1"/>
    <xf numFmtId="168" fontId="0" fillId="0" borderId="20" xfId="58" applyNumberFormat="1" applyFont="1" applyBorder="1" applyProtection="1"/>
    <xf numFmtId="166" fontId="0" fillId="5" borderId="21" xfId="84" applyNumberFormat="1" applyFont="1" applyFill="1" applyBorder="1" applyProtection="1"/>
    <xf numFmtId="168" fontId="0" fillId="2" borderId="21" xfId="58" applyNumberFormat="1" applyFont="1" applyFill="1" applyBorder="1" applyProtection="1"/>
    <xf numFmtId="166" fontId="0" fillId="2" borderId="21" xfId="84" applyNumberFormat="1" applyFont="1" applyFill="1" applyBorder="1" applyProtection="1"/>
    <xf numFmtId="0" fontId="0" fillId="0" borderId="0" xfId="0" applyAlignment="1" applyProtection="1">
      <alignment horizontal="center"/>
    </xf>
    <xf numFmtId="166" fontId="0" fillId="0" borderId="0" xfId="18" applyNumberFormat="1" applyFont="1" applyFill="1" applyProtection="1"/>
    <xf numFmtId="168" fontId="0" fillId="0" borderId="0" xfId="19" applyNumberFormat="1" applyFont="1" applyFill="1" applyBorder="1" applyProtection="1"/>
    <xf numFmtId="0" fontId="65" fillId="0" borderId="0" xfId="0" applyFont="1" applyFill="1" applyBorder="1" applyAlignment="1" applyProtection="1">
      <alignment horizontal="center" wrapText="1"/>
    </xf>
    <xf numFmtId="0" fontId="66" fillId="0" borderId="0" xfId="0" applyFont="1" applyFill="1" applyBorder="1" applyAlignment="1" applyProtection="1">
      <alignment horizontal="left" vertical="justify" wrapText="1"/>
    </xf>
    <xf numFmtId="49" fontId="60" fillId="4" borderId="13" xfId="34" applyNumberFormat="1" applyFill="1" applyBorder="1" applyAlignment="1" applyProtection="1">
      <alignment shrinkToFit="1"/>
    </xf>
    <xf numFmtId="49" fontId="59" fillId="2" borderId="13" xfId="0" applyNumberFormat="1" applyFont="1" applyFill="1" applyBorder="1" applyAlignment="1" applyProtection="1"/>
    <xf numFmtId="49" fontId="59" fillId="2" borderId="14" xfId="0" applyNumberFormat="1" applyFont="1" applyFill="1" applyBorder="1" applyAlignment="1" applyProtection="1"/>
    <xf numFmtId="49" fontId="59" fillId="2" borderId="15" xfId="0" applyNumberFormat="1" applyFont="1" applyFill="1" applyBorder="1" applyAlignment="1" applyProtection="1"/>
    <xf numFmtId="0" fontId="0" fillId="0" borderId="0" xfId="0" applyBorder="1" applyAlignment="1" applyProtection="1">
      <alignment horizontal="center"/>
    </xf>
    <xf numFmtId="166" fontId="0" fillId="0" borderId="0" xfId="18" applyNumberFormat="1" applyFont="1" applyBorder="1" applyProtection="1"/>
    <xf numFmtId="166" fontId="0" fillId="0" borderId="0" xfId="18" applyNumberFormat="1" applyFont="1" applyFill="1" applyBorder="1" applyProtection="1"/>
    <xf numFmtId="42" fontId="0" fillId="0" borderId="0" xfId="0" applyNumberFormat="1" applyFill="1" applyAlignment="1" applyProtection="1">
      <alignment wrapText="1"/>
    </xf>
    <xf numFmtId="0" fontId="0"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167" fontId="0" fillId="0" borderId="20" xfId="0" applyNumberFormat="1" applyBorder="1" applyProtection="1"/>
    <xf numFmtId="167" fontId="47" fillId="0" borderId="0" xfId="0" applyNumberFormat="1" applyFont="1" applyProtection="1"/>
    <xf numFmtId="0" fontId="47" fillId="0" borderId="0" xfId="0" applyFont="1" applyAlignment="1" applyProtection="1">
      <alignment horizontal="center"/>
    </xf>
    <xf numFmtId="0" fontId="47" fillId="0" borderId="0" xfId="0" applyFont="1" applyProtection="1"/>
    <xf numFmtId="3" fontId="47" fillId="0" borderId="0" xfId="0" applyNumberFormat="1" applyFont="1" applyProtection="1"/>
    <xf numFmtId="0" fontId="27" fillId="5" borderId="13" xfId="0" applyFont="1" applyFill="1" applyBorder="1" applyProtection="1"/>
    <xf numFmtId="164" fontId="0" fillId="5" borderId="11" xfId="58" applyNumberFormat="1" applyFont="1" applyFill="1" applyBorder="1" applyProtection="1"/>
    <xf numFmtId="0" fontId="27" fillId="0" borderId="0" xfId="2" applyAlignment="1" applyProtection="1">
      <alignment horizontal="center"/>
    </xf>
    <xf numFmtId="0" fontId="28" fillId="0" borderId="0" xfId="2" applyFont="1" applyAlignment="1" applyProtection="1">
      <alignment horizontal="center"/>
    </xf>
    <xf numFmtId="49" fontId="27" fillId="4" borderId="15" xfId="2" applyNumberFormat="1" applyFill="1" applyBorder="1" applyAlignment="1" applyProtection="1">
      <alignment shrinkToFit="1"/>
    </xf>
    <xf numFmtId="3" fontId="27" fillId="4" borderId="13" xfId="2" applyNumberFormat="1" applyFill="1" applyBorder="1" applyAlignment="1" applyProtection="1">
      <alignment horizontal="left" shrinkToFit="1"/>
    </xf>
    <xf numFmtId="3" fontId="27" fillId="4" borderId="14" xfId="2" applyNumberFormat="1" applyFill="1" applyBorder="1" applyAlignment="1" applyProtection="1">
      <alignment horizontal="left" shrinkToFit="1"/>
    </xf>
    <xf numFmtId="3" fontId="27" fillId="4" borderId="15" xfId="2" applyNumberFormat="1" applyFill="1" applyBorder="1" applyAlignment="1" applyProtection="1">
      <alignment horizontal="left" shrinkToFit="1"/>
    </xf>
    <xf numFmtId="49" fontId="27" fillId="4" borderId="13" xfId="2" applyNumberFormat="1" applyFill="1" applyBorder="1" applyAlignment="1" applyProtection="1">
      <alignment horizontal="left" shrinkToFit="1"/>
    </xf>
    <xf numFmtId="49" fontId="27" fillId="4" borderId="14" xfId="2" applyNumberFormat="1" applyFill="1" applyBorder="1" applyAlignment="1" applyProtection="1">
      <alignment horizontal="left" shrinkToFit="1"/>
    </xf>
    <xf numFmtId="49" fontId="27" fillId="4" borderId="15" xfId="2" applyNumberFormat="1" applyFill="1" applyBorder="1" applyAlignment="1" applyProtection="1">
      <alignment horizontal="left" shrinkToFit="1"/>
    </xf>
    <xf numFmtId="165" fontId="27" fillId="4" borderId="14" xfId="2" applyNumberFormat="1" applyFill="1" applyBorder="1" applyAlignment="1" applyProtection="1">
      <alignment shrinkToFit="1"/>
    </xf>
    <xf numFmtId="165" fontId="27" fillId="4" borderId="15" xfId="2" applyNumberFormat="1" applyFill="1" applyBorder="1" applyAlignment="1" applyProtection="1">
      <alignment shrinkToFit="1"/>
    </xf>
    <xf numFmtId="0" fontId="28" fillId="0" borderId="0" xfId="2" applyFont="1" applyAlignment="1" applyProtection="1">
      <alignment horizontal="center"/>
    </xf>
    <xf numFmtId="5" fontId="27" fillId="2" borderId="11" xfId="2" applyNumberFormat="1" applyFill="1" applyBorder="1" applyProtection="1"/>
    <xf numFmtId="49" fontId="27" fillId="2" borderId="13" xfId="2" applyNumberFormat="1" applyFont="1" applyFill="1" applyBorder="1" applyAlignment="1" applyProtection="1"/>
    <xf numFmtId="49" fontId="27" fillId="2" borderId="14" xfId="2" applyNumberFormat="1" applyFont="1" applyFill="1" applyBorder="1" applyAlignment="1" applyProtection="1"/>
    <xf numFmtId="49" fontId="27" fillId="2" borderId="15" xfId="2" applyNumberFormat="1" applyFont="1" applyFill="1" applyBorder="1" applyAlignment="1" applyProtection="1"/>
    <xf numFmtId="49" fontId="27" fillId="2" borderId="13" xfId="2" applyNumberFormat="1" applyFont="1" applyFill="1" applyBorder="1" applyAlignment="1" applyProtection="1"/>
    <xf numFmtId="49" fontId="27" fillId="2" borderId="14" xfId="2" applyNumberFormat="1" applyFont="1" applyFill="1" applyBorder="1" applyAlignment="1" applyProtection="1"/>
    <xf numFmtId="49" fontId="27" fillId="2" borderId="15" xfId="2" applyNumberFormat="1" applyFont="1" applyFill="1" applyBorder="1" applyAlignment="1" applyProtection="1"/>
    <xf numFmtId="3" fontId="27" fillId="2" borderId="11" xfId="2" applyNumberFormat="1" applyFont="1" applyFill="1" applyBorder="1" applyProtection="1"/>
    <xf numFmtId="167" fontId="27" fillId="0" borderId="12" xfId="2" applyNumberFormat="1" applyFill="1" applyBorder="1" applyProtection="1"/>
    <xf numFmtId="167" fontId="27" fillId="3" borderId="19" xfId="2" applyNumberFormat="1" applyFill="1" applyBorder="1" applyProtection="1"/>
    <xf numFmtId="3" fontId="27" fillId="2" borderId="0" xfId="2" applyNumberFormat="1" applyFill="1" applyBorder="1" applyProtection="1"/>
    <xf numFmtId="5" fontId="27" fillId="2" borderId="0" xfId="2" applyNumberFormat="1" applyFill="1" applyBorder="1" applyProtection="1"/>
    <xf numFmtId="166" fontId="27" fillId="2" borderId="11" xfId="18" applyNumberFormat="1" applyFont="1" applyFill="1" applyBorder="1" applyProtection="1"/>
    <xf numFmtId="167" fontId="27" fillId="0" borderId="12" xfId="2" applyNumberFormat="1" applyBorder="1" applyProtection="1"/>
    <xf numFmtId="49" fontId="27" fillId="2" borderId="13" xfId="0" quotePrefix="1" applyNumberFormat="1" applyFont="1" applyFill="1" applyBorder="1" applyAlignment="1" applyProtection="1">
      <alignment horizontal="left"/>
    </xf>
    <xf numFmtId="49" fontId="35" fillId="2" borderId="14" xfId="0" quotePrefix="1" applyNumberFormat="1" applyFont="1" applyFill="1" applyBorder="1" applyAlignment="1" applyProtection="1">
      <alignment horizontal="left"/>
    </xf>
    <xf numFmtId="49" fontId="35" fillId="2" borderId="15" xfId="0" quotePrefix="1" applyNumberFormat="1" applyFont="1" applyFill="1" applyBorder="1" applyAlignment="1" applyProtection="1">
      <alignment horizontal="left"/>
    </xf>
    <xf numFmtId="49" fontId="27" fillId="2" borderId="13" xfId="0" applyNumberFormat="1" applyFont="1" applyFill="1" applyBorder="1" applyAlignment="1" applyProtection="1">
      <alignment horizontal="left"/>
    </xf>
    <xf numFmtId="49" fontId="35" fillId="2" borderId="14" xfId="0" applyNumberFormat="1" applyFont="1" applyFill="1" applyBorder="1" applyAlignment="1" applyProtection="1">
      <alignment horizontal="left"/>
    </xf>
    <xf numFmtId="49" fontId="35" fillId="2" borderId="15" xfId="0" applyNumberFormat="1" applyFont="1" applyFill="1" applyBorder="1" applyAlignment="1" applyProtection="1">
      <alignment horizontal="left"/>
    </xf>
    <xf numFmtId="49" fontId="27" fillId="2" borderId="0" xfId="2" applyNumberFormat="1" applyFill="1" applyBorder="1" applyAlignment="1" applyProtection="1"/>
    <xf numFmtId="5" fontId="27" fillId="2" borderId="13" xfId="2" applyNumberFormat="1" applyFill="1" applyBorder="1" applyProtection="1"/>
    <xf numFmtId="164" fontId="27" fillId="2" borderId="17" xfId="2" applyNumberFormat="1" applyFill="1" applyBorder="1" applyProtection="1"/>
    <xf numFmtId="37" fontId="27" fillId="2" borderId="11" xfId="2" applyNumberFormat="1" applyFill="1" applyBorder="1" applyProtection="1"/>
    <xf numFmtId="37" fontId="27" fillId="2" borderId="13" xfId="2" applyNumberFormat="1" applyFill="1" applyBorder="1" applyProtection="1"/>
    <xf numFmtId="0" fontId="27" fillId="0" borderId="10" xfId="2" applyFont="1" applyBorder="1" applyAlignment="1" applyProtection="1"/>
    <xf numFmtId="10" fontId="27" fillId="2" borderId="11" xfId="2" applyNumberFormat="1" applyFill="1" applyBorder="1" applyProtection="1"/>
    <xf numFmtId="167" fontId="27" fillId="0" borderId="0" xfId="2" applyNumberFormat="1" applyProtection="1"/>
    <xf numFmtId="7" fontId="27" fillId="2" borderId="17" xfId="2" applyNumberFormat="1" applyFill="1" applyBorder="1" applyProtection="1"/>
    <xf numFmtId="7" fontId="27" fillId="2" borderId="11" xfId="2" applyNumberFormat="1" applyFill="1" applyBorder="1" applyProtection="1"/>
    <xf numFmtId="7" fontId="61" fillId="0" borderId="0" xfId="0" applyNumberFormat="1" applyFont="1" applyProtection="1"/>
    <xf numFmtId="7" fontId="27" fillId="0" borderId="0" xfId="2" applyNumberFormat="1" applyProtection="1"/>
    <xf numFmtId="0" fontId="80" fillId="0" borderId="0" xfId="0" applyFont="1" applyAlignment="1" applyProtection="1">
      <alignment horizontal="left"/>
    </xf>
    <xf numFmtId="0" fontId="80" fillId="0" borderId="0" xfId="0" applyFont="1" applyAlignment="1" applyProtection="1">
      <alignment horizontal="centerContinuous"/>
    </xf>
    <xf numFmtId="0" fontId="81" fillId="0" borderId="0" xfId="0" applyFont="1" applyAlignment="1" applyProtection="1">
      <alignment horizontal="centerContinuous"/>
    </xf>
    <xf numFmtId="168" fontId="80" fillId="0" borderId="0" xfId="19" applyNumberFormat="1" applyFont="1" applyAlignment="1" applyProtection="1">
      <alignment horizontal="centerContinuous"/>
    </xf>
    <xf numFmtId="0" fontId="81" fillId="0" borderId="0" xfId="0" applyFont="1" applyAlignment="1" applyProtection="1">
      <alignment horizontal="left"/>
    </xf>
    <xf numFmtId="168" fontId="80" fillId="0" borderId="0" xfId="19" applyNumberFormat="1" applyFont="1" applyProtection="1"/>
    <xf numFmtId="0" fontId="81" fillId="0" borderId="0" xfId="0" applyFont="1" applyProtection="1"/>
    <xf numFmtId="0" fontId="81" fillId="0" borderId="0" xfId="0" applyFont="1" applyAlignment="1" applyProtection="1">
      <alignment horizontal="right"/>
    </xf>
    <xf numFmtId="1" fontId="80" fillId="4" borderId="26" xfId="0" quotePrefix="1" applyNumberFormat="1" applyFont="1" applyFill="1" applyBorder="1" applyAlignment="1" applyProtection="1">
      <alignment horizontal="left"/>
    </xf>
    <xf numFmtId="0" fontId="80" fillId="0" borderId="20" xfId="0" applyFont="1" applyBorder="1" applyAlignment="1" applyProtection="1">
      <alignment horizontal="left"/>
    </xf>
    <xf numFmtId="0" fontId="80" fillId="0" borderId="27" xfId="0" applyFont="1" applyBorder="1" applyAlignment="1" applyProtection="1">
      <alignment horizontal="left"/>
    </xf>
    <xf numFmtId="43" fontId="80" fillId="0" borderId="0" xfId="18" applyFont="1" applyProtection="1"/>
    <xf numFmtId="0" fontId="82" fillId="0" borderId="0" xfId="0" applyFont="1" applyFill="1" applyBorder="1" applyAlignment="1" applyProtection="1">
      <alignment vertical="justify" wrapText="1"/>
    </xf>
    <xf numFmtId="0" fontId="80" fillId="0" borderId="0" xfId="0" applyFont="1" applyAlignment="1" applyProtection="1">
      <alignment vertical="justify" wrapText="1"/>
    </xf>
    <xf numFmtId="0" fontId="80" fillId="0" borderId="0" xfId="0" applyFont="1" applyAlignment="1" applyProtection="1"/>
    <xf numFmtId="0" fontId="82" fillId="0" borderId="0" xfId="0" applyFont="1" applyFill="1" applyBorder="1" applyAlignment="1" applyProtection="1">
      <alignment horizontal="left"/>
    </xf>
    <xf numFmtId="0" fontId="81" fillId="0" borderId="0" xfId="0" applyFont="1" applyAlignment="1" applyProtection="1">
      <alignment horizontal="center" wrapText="1"/>
    </xf>
    <xf numFmtId="168" fontId="81" fillId="0" borderId="0" xfId="19" applyNumberFormat="1" applyFont="1" applyAlignment="1" applyProtection="1">
      <alignment horizontal="center" wrapText="1"/>
    </xf>
    <xf numFmtId="49" fontId="80" fillId="2" borderId="13" xfId="0" applyNumberFormat="1" applyFont="1" applyFill="1" applyBorder="1" applyAlignment="1" applyProtection="1"/>
    <xf numFmtId="49" fontId="80" fillId="2" borderId="14" xfId="0" applyNumberFormat="1" applyFont="1" applyFill="1" applyBorder="1" applyAlignment="1" applyProtection="1"/>
    <xf numFmtId="49" fontId="80" fillId="2" borderId="15" xfId="0" applyNumberFormat="1" applyFont="1" applyFill="1" applyBorder="1" applyAlignment="1" applyProtection="1"/>
    <xf numFmtId="49" fontId="80" fillId="2" borderId="13" xfId="0" applyNumberFormat="1" applyFont="1" applyFill="1" applyBorder="1" applyAlignment="1" applyProtection="1"/>
    <xf numFmtId="49" fontId="80" fillId="2" borderId="14" xfId="0" applyNumberFormat="1" applyFont="1" applyFill="1" applyBorder="1" applyAlignment="1" applyProtection="1"/>
    <xf numFmtId="49" fontId="80" fillId="2" borderId="15" xfId="0" applyNumberFormat="1" applyFont="1" applyFill="1" applyBorder="1" applyAlignment="1" applyProtection="1"/>
    <xf numFmtId="164" fontId="80" fillId="0" borderId="11" xfId="0" applyNumberFormat="1" applyFont="1" applyFill="1" applyBorder="1" applyProtection="1"/>
    <xf numFmtId="3" fontId="80" fillId="0" borderId="12" xfId="0" applyNumberFormat="1" applyFont="1" applyFill="1" applyBorder="1" applyProtection="1"/>
    <xf numFmtId="168" fontId="80" fillId="0" borderId="12" xfId="19" applyNumberFormat="1" applyFont="1" applyFill="1" applyBorder="1" applyProtection="1"/>
    <xf numFmtId="164" fontId="80" fillId="3" borderId="19" xfId="0" applyNumberFormat="1" applyFont="1" applyFill="1" applyBorder="1" applyProtection="1"/>
    <xf numFmtId="0" fontId="80" fillId="0" borderId="0" xfId="0" applyFont="1" applyBorder="1" applyProtection="1"/>
    <xf numFmtId="1" fontId="80" fillId="2" borderId="11" xfId="0" applyNumberFormat="1" applyFont="1" applyFill="1" applyBorder="1" applyProtection="1"/>
    <xf numFmtId="0" fontId="80" fillId="0" borderId="12" xfId="0" applyFont="1" applyBorder="1" applyProtection="1"/>
    <xf numFmtId="168" fontId="80" fillId="0" borderId="12" xfId="19" applyNumberFormat="1" applyFont="1" applyBorder="1" applyProtection="1"/>
    <xf numFmtId="0" fontId="81" fillId="0" borderId="10" xfId="0" applyFont="1" applyBorder="1" applyAlignment="1" applyProtection="1">
      <alignment wrapText="1"/>
    </xf>
    <xf numFmtId="0" fontId="80" fillId="0" borderId="10" xfId="0" applyFont="1" applyBorder="1" applyAlignment="1" applyProtection="1">
      <alignment wrapText="1"/>
    </xf>
    <xf numFmtId="0" fontId="80" fillId="0" borderId="20" xfId="0" applyFont="1" applyBorder="1" applyProtection="1"/>
    <xf numFmtId="168" fontId="80" fillId="0" borderId="20" xfId="19" applyNumberFormat="1" applyFont="1" applyBorder="1" applyProtection="1"/>
    <xf numFmtId="0" fontId="81" fillId="0" borderId="0" xfId="0" applyFont="1" applyBorder="1" applyAlignment="1" applyProtection="1">
      <alignment horizontal="center" wrapText="1"/>
    </xf>
    <xf numFmtId="168" fontId="81" fillId="0" borderId="0" xfId="19" applyNumberFormat="1" applyFont="1" applyBorder="1" applyAlignment="1" applyProtection="1">
      <alignment horizontal="center" wrapText="1"/>
    </xf>
    <xf numFmtId="0" fontId="80" fillId="3" borderId="0" xfId="0" applyFont="1" applyFill="1" applyBorder="1" applyProtection="1"/>
    <xf numFmtId="164" fontId="80" fillId="3" borderId="0" xfId="0" applyNumberFormat="1" applyFont="1" applyFill="1" applyBorder="1" applyProtection="1"/>
    <xf numFmtId="3" fontId="80" fillId="2" borderId="17" xfId="0" applyNumberFormat="1" applyFont="1" applyFill="1" applyBorder="1" applyProtection="1"/>
    <xf numFmtId="168" fontId="80" fillId="2" borderId="17" xfId="19" applyNumberFormat="1" applyFont="1" applyFill="1" applyBorder="1" applyProtection="1"/>
    <xf numFmtId="49" fontId="80" fillId="2" borderId="22" xfId="0" applyNumberFormat="1" applyFont="1" applyFill="1" applyBorder="1" applyAlignment="1" applyProtection="1"/>
    <xf numFmtId="49" fontId="80" fillId="2" borderId="10" xfId="0" applyNumberFormat="1" applyFont="1" applyFill="1" applyBorder="1" applyAlignment="1" applyProtection="1"/>
    <xf numFmtId="49" fontId="80" fillId="2" borderId="16" xfId="0" applyNumberFormat="1" applyFont="1" applyFill="1" applyBorder="1" applyAlignment="1" applyProtection="1"/>
    <xf numFmtId="3" fontId="80" fillId="3" borderId="0" xfId="0" applyNumberFormat="1" applyFont="1" applyFill="1" applyBorder="1" applyProtection="1"/>
    <xf numFmtId="164" fontId="80" fillId="3" borderId="11" xfId="0" applyNumberFormat="1" applyFont="1" applyFill="1" applyBorder="1" applyProtection="1"/>
    <xf numFmtId="3" fontId="80" fillId="2" borderId="18" xfId="0" applyNumberFormat="1" applyFont="1" applyFill="1" applyBorder="1" applyProtection="1"/>
    <xf numFmtId="0" fontId="81" fillId="0" borderId="0" xfId="0" applyFont="1" applyBorder="1" applyProtection="1"/>
    <xf numFmtId="0" fontId="80" fillId="0" borderId="10" xfId="0" applyFont="1" applyBorder="1" applyAlignment="1" applyProtection="1">
      <alignment horizontal="left"/>
    </xf>
    <xf numFmtId="0" fontId="81" fillId="0" borderId="10" xfId="0" applyFont="1" applyBorder="1" applyProtection="1"/>
    <xf numFmtId="0" fontId="80" fillId="0" borderId="10" xfId="0" applyFont="1" applyBorder="1" applyProtection="1"/>
    <xf numFmtId="0" fontId="83" fillId="0" borderId="0" xfId="0" applyFont="1" applyFill="1" applyBorder="1" applyProtection="1"/>
    <xf numFmtId="0" fontId="83" fillId="0" borderId="0" xfId="0" applyFont="1" applyProtection="1"/>
    <xf numFmtId="167" fontId="28" fillId="0" borderId="0" xfId="0" applyNumberFormat="1" applyFont="1" applyProtection="1"/>
    <xf numFmtId="3" fontId="80" fillId="3" borderId="17" xfId="0" applyNumberFormat="1" applyFont="1" applyFill="1" applyBorder="1" applyProtection="1"/>
    <xf numFmtId="168" fontId="80" fillId="3" borderId="17" xfId="19" applyNumberFormat="1" applyFont="1" applyFill="1" applyBorder="1" applyProtection="1"/>
    <xf numFmtId="164" fontId="80" fillId="2" borderId="17" xfId="0" applyNumberFormat="1" applyFont="1" applyFill="1" applyBorder="1" applyProtection="1"/>
    <xf numFmtId="3" fontId="80" fillId="2" borderId="21" xfId="0" applyNumberFormat="1" applyFont="1" applyFill="1" applyBorder="1" applyProtection="1"/>
    <xf numFmtId="168" fontId="80" fillId="2" borderId="21" xfId="19" applyNumberFormat="1" applyFont="1" applyFill="1" applyBorder="1" applyProtection="1"/>
    <xf numFmtId="49" fontId="30" fillId="6" borderId="13" xfId="0" applyNumberFormat="1" applyFont="1" applyFill="1" applyBorder="1" applyAlignment="1" applyProtection="1"/>
    <xf numFmtId="49" fontId="30" fillId="6" borderId="14" xfId="0" applyNumberFormat="1" applyFont="1" applyFill="1" applyBorder="1" applyAlignment="1" applyProtection="1"/>
    <xf numFmtId="49" fontId="30" fillId="6" borderId="15" xfId="0" applyNumberFormat="1" applyFont="1" applyFill="1" applyBorder="1" applyAlignment="1" applyProtection="1"/>
    <xf numFmtId="49" fontId="27" fillId="6" borderId="22" xfId="0" applyNumberFormat="1" applyFont="1" applyFill="1" applyBorder="1" applyAlignment="1" applyProtection="1"/>
    <xf numFmtId="49" fontId="27" fillId="6" borderId="10" xfId="0" applyNumberFormat="1" applyFont="1" applyFill="1" applyBorder="1" applyAlignment="1" applyProtection="1"/>
    <xf numFmtId="49" fontId="27" fillId="6" borderId="15" xfId="0" applyNumberFormat="1" applyFont="1" applyFill="1" applyBorder="1" applyAlignment="1" applyProtection="1"/>
    <xf numFmtId="49" fontId="27" fillId="6" borderId="13" xfId="0" applyNumberFormat="1" applyFont="1" applyFill="1" applyBorder="1" applyAlignment="1" applyProtection="1"/>
    <xf numFmtId="49" fontId="27" fillId="6" borderId="14" xfId="0" applyNumberFormat="1" applyFont="1" applyFill="1" applyBorder="1" applyAlignment="1" applyProtection="1"/>
    <xf numFmtId="49" fontId="27" fillId="6" borderId="15" xfId="0" applyNumberFormat="1" applyFont="1" applyFill="1" applyBorder="1" applyAlignment="1" applyProtection="1"/>
    <xf numFmtId="49" fontId="27" fillId="6" borderId="13" xfId="0" applyNumberFormat="1" applyFont="1" applyFill="1" applyBorder="1" applyAlignment="1" applyProtection="1"/>
    <xf numFmtId="49" fontId="27" fillId="6" borderId="14" xfId="0" applyNumberFormat="1" applyFont="1" applyFill="1" applyBorder="1" applyAlignment="1" applyProtection="1"/>
    <xf numFmtId="43" fontId="0" fillId="2" borderId="11" xfId="84" applyFont="1" applyFill="1" applyBorder="1" applyProtection="1"/>
    <xf numFmtId="43" fontId="27" fillId="0" borderId="0" xfId="84" applyFont="1" applyProtection="1"/>
    <xf numFmtId="43" fontId="0" fillId="0" borderId="0" xfId="0" applyNumberFormat="1" applyProtection="1"/>
    <xf numFmtId="3" fontId="27" fillId="0" borderId="0" xfId="0" applyNumberFormat="1" applyFont="1" applyProtection="1"/>
    <xf numFmtId="0" fontId="31" fillId="0" borderId="0" xfId="0" applyFont="1" applyAlignment="1" applyProtection="1">
      <alignment horizontal="left"/>
    </xf>
    <xf numFmtId="168" fontId="0" fillId="0" borderId="12" xfId="58" applyNumberFormat="1" applyFont="1" applyFill="1" applyBorder="1" applyProtection="1"/>
    <xf numFmtId="168" fontId="0" fillId="0" borderId="12" xfId="58" applyNumberFormat="1" applyFont="1" applyBorder="1" applyProtection="1"/>
    <xf numFmtId="0" fontId="28" fillId="0" borderId="0" xfId="0" applyFont="1" applyFill="1" applyAlignment="1" applyProtection="1">
      <alignment horizontal="right"/>
    </xf>
    <xf numFmtId="49" fontId="27" fillId="2" borderId="14" xfId="0" applyNumberFormat="1" applyFont="1" applyFill="1" applyBorder="1" applyAlignment="1" applyProtection="1"/>
    <xf numFmtId="49" fontId="27" fillId="2" borderId="15" xfId="0" applyNumberFormat="1" applyFont="1" applyFill="1" applyBorder="1" applyAlignment="1" applyProtection="1"/>
    <xf numFmtId="168" fontId="0" fillId="0" borderId="20" xfId="0" applyNumberFormat="1" applyBorder="1" applyProtection="1"/>
    <xf numFmtId="168" fontId="27" fillId="0" borderId="0" xfId="58" applyNumberFormat="1" applyFont="1" applyProtection="1"/>
    <xf numFmtId="170" fontId="0" fillId="0" borderId="0" xfId="0" applyNumberFormat="1" applyProtection="1"/>
    <xf numFmtId="44" fontId="0" fillId="0" borderId="0" xfId="58" applyNumberFormat="1" applyFont="1" applyProtection="1"/>
    <xf numFmtId="171" fontId="0" fillId="0" borderId="0" xfId="58" applyNumberFormat="1" applyFont="1" applyProtection="1"/>
    <xf numFmtId="0" fontId="79" fillId="0" borderId="0" xfId="0" applyFont="1" applyProtection="1"/>
    <xf numFmtId="0" fontId="27" fillId="0" borderId="0" xfId="0" applyFont="1" applyFill="1" applyProtection="1"/>
    <xf numFmtId="0" fontId="27" fillId="8" borderId="0" xfId="0" applyFont="1" applyFill="1" applyProtection="1"/>
    <xf numFmtId="0" fontId="0" fillId="8" borderId="0" xfId="0" applyFill="1" applyBorder="1" applyProtection="1"/>
    <xf numFmtId="172" fontId="0" fillId="2" borderId="11" xfId="18" applyNumberFormat="1" applyFont="1" applyFill="1" applyBorder="1" applyProtection="1"/>
    <xf numFmtId="164" fontId="0" fillId="0" borderId="0" xfId="0" applyNumberFormat="1" applyAlignment="1" applyProtection="1">
      <alignment horizontal="centerContinuous"/>
    </xf>
    <xf numFmtId="164" fontId="28" fillId="0" borderId="0" xfId="0" applyNumberFormat="1" applyFont="1" applyAlignment="1" applyProtection="1">
      <alignment horizontal="center" wrapText="1"/>
    </xf>
    <xf numFmtId="164" fontId="63" fillId="0" borderId="0" xfId="84" applyNumberFormat="1" applyFont="1" applyProtection="1"/>
    <xf numFmtId="164" fontId="0" fillId="0" borderId="12" xfId="0" applyNumberFormat="1" applyBorder="1" applyProtection="1"/>
    <xf numFmtId="164" fontId="0" fillId="0" borderId="20" xfId="0" applyNumberFormat="1" applyBorder="1" applyProtection="1"/>
    <xf numFmtId="164" fontId="28" fillId="0" borderId="0" xfId="0" applyNumberFormat="1" applyFont="1" applyBorder="1" applyAlignment="1" applyProtection="1">
      <alignment horizontal="center" wrapText="1"/>
    </xf>
    <xf numFmtId="164" fontId="27" fillId="2" borderId="13" xfId="0" applyNumberFormat="1" applyFont="1" applyFill="1" applyBorder="1" applyProtection="1"/>
    <xf numFmtId="164" fontId="27" fillId="0" borderId="0" xfId="0" applyNumberFormat="1" applyFont="1" applyProtection="1"/>
    <xf numFmtId="164" fontId="0" fillId="0" borderId="0" xfId="84" applyNumberFormat="1" applyFont="1" applyProtection="1"/>
    <xf numFmtId="6" fontId="75" fillId="0" borderId="23" xfId="0" applyNumberFormat="1" applyFont="1" applyFill="1" applyBorder="1" applyAlignment="1" applyProtection="1">
      <alignment horizontal="center" vertical="center" wrapText="1" readingOrder="1"/>
    </xf>
    <xf numFmtId="6" fontId="76" fillId="0" borderId="24" xfId="0" applyNumberFormat="1" applyFont="1" applyFill="1" applyBorder="1" applyAlignment="1" applyProtection="1">
      <alignment horizontal="center" vertical="center" wrapText="1" readingOrder="1"/>
    </xf>
    <xf numFmtId="6" fontId="76" fillId="0" borderId="25" xfId="0" applyNumberFormat="1" applyFont="1" applyFill="1" applyBorder="1" applyAlignment="1" applyProtection="1">
      <alignment horizontal="center" vertical="center" wrapText="1" readingOrder="1"/>
    </xf>
    <xf numFmtId="164" fontId="0" fillId="0" borderId="0" xfId="0" applyNumberFormat="1" applyFill="1" applyProtection="1"/>
    <xf numFmtId="6" fontId="0" fillId="0" borderId="0" xfId="0" applyNumberFormat="1" applyFill="1" applyProtection="1"/>
    <xf numFmtId="164" fontId="0" fillId="2" borderId="21" xfId="0" applyNumberFormat="1" applyFill="1" applyBorder="1" applyProtection="1"/>
    <xf numFmtId="49" fontId="27" fillId="5" borderId="22" xfId="0" applyNumberFormat="1" applyFont="1" applyFill="1" applyBorder="1" applyAlignment="1" applyProtection="1"/>
    <xf numFmtId="49" fontId="0" fillId="5" borderId="10" xfId="0" applyNumberFormat="1" applyFill="1" applyBorder="1" applyAlignment="1" applyProtection="1"/>
    <xf numFmtId="49" fontId="0" fillId="5" borderId="15" xfId="0" applyNumberFormat="1" applyFill="1" applyBorder="1" applyAlignment="1" applyProtection="1"/>
    <xf numFmtId="49" fontId="0" fillId="5" borderId="13" xfId="0" applyNumberFormat="1" applyFill="1" applyBorder="1" applyAlignment="1" applyProtection="1"/>
    <xf numFmtId="49" fontId="0" fillId="5" borderId="14" xfId="0" applyNumberFormat="1" applyFill="1" applyBorder="1" applyAlignment="1" applyProtection="1"/>
    <xf numFmtId="49" fontId="0" fillId="5" borderId="15" xfId="0" applyNumberFormat="1" applyFill="1" applyBorder="1" applyAlignment="1" applyProtection="1"/>
    <xf numFmtId="0" fontId="27" fillId="0" borderId="0" xfId="0" applyFont="1" applyFill="1" applyBorder="1" applyProtection="1"/>
    <xf numFmtId="49" fontId="0" fillId="5" borderId="13" xfId="0" applyNumberFormat="1" applyFill="1" applyBorder="1" applyAlignment="1" applyProtection="1"/>
    <xf numFmtId="49" fontId="0" fillId="5" borderId="14" xfId="0" applyNumberFormat="1" applyFill="1" applyBorder="1" applyAlignment="1" applyProtection="1"/>
    <xf numFmtId="3" fontId="0" fillId="5" borderId="17" xfId="0" applyNumberFormat="1" applyFill="1" applyBorder="1" applyProtection="1"/>
    <xf numFmtId="164" fontId="0" fillId="5" borderId="17" xfId="0" applyNumberFormat="1" applyFill="1" applyBorder="1" applyProtection="1"/>
    <xf numFmtId="167" fontId="0" fillId="2" borderId="17" xfId="0" applyNumberFormat="1" applyFill="1" applyBorder="1" applyProtection="1"/>
    <xf numFmtId="44" fontId="0" fillId="2" borderId="11" xfId="0" applyNumberFormat="1" applyFill="1" applyBorder="1" applyProtection="1"/>
    <xf numFmtId="49" fontId="78" fillId="4" borderId="13" xfId="0" applyNumberFormat="1" applyFont="1" applyFill="1" applyBorder="1" applyAlignment="1" applyProtection="1">
      <alignment shrinkToFit="1"/>
    </xf>
    <xf numFmtId="49" fontId="78" fillId="0" borderId="14" xfId="0" applyNumberFormat="1" applyFont="1" applyBorder="1" applyAlignment="1" applyProtection="1">
      <alignment shrinkToFit="1"/>
    </xf>
    <xf numFmtId="49" fontId="78" fillId="0" borderId="15" xfId="0" applyNumberFormat="1" applyFont="1" applyBorder="1" applyAlignment="1" applyProtection="1">
      <alignment shrinkToFit="1"/>
    </xf>
    <xf numFmtId="49" fontId="30" fillId="2" borderId="22" xfId="0" applyNumberFormat="1" applyFont="1" applyFill="1" applyBorder="1" applyAlignment="1" applyProtection="1"/>
    <xf numFmtId="49" fontId="30" fillId="2" borderId="10" xfId="0" applyNumberFormat="1" applyFont="1" applyFill="1" applyBorder="1" applyAlignment="1" applyProtection="1"/>
    <xf numFmtId="1" fontId="0" fillId="4" borderId="13" xfId="0" quotePrefix="1" applyNumberFormat="1" applyFill="1" applyBorder="1" applyAlignment="1" applyProtection="1">
      <alignment horizontal="left" shrinkToFit="1"/>
    </xf>
    <xf numFmtId="0" fontId="0" fillId="0" borderId="14" xfId="0" applyBorder="1" applyAlignment="1" applyProtection="1">
      <alignment horizontal="left" shrinkToFit="1"/>
    </xf>
    <xf numFmtId="0" fontId="0" fillId="0" borderId="15" xfId="0" applyBorder="1" applyAlignment="1" applyProtection="1">
      <alignment horizontal="left" shrinkToFit="1"/>
    </xf>
    <xf numFmtId="3" fontId="27" fillId="2" borderId="18" xfId="2" applyNumberFormat="1" applyFill="1" applyBorder="1" applyProtection="1"/>
    <xf numFmtId="164" fontId="27" fillId="2" borderId="18" xfId="2" applyNumberFormat="1" applyFill="1" applyBorder="1" applyProtection="1"/>
    <xf numFmtId="49" fontId="27" fillId="2" borderId="13" xfId="22" applyNumberFormat="1" applyFont="1" applyFill="1" applyBorder="1" applyAlignment="1" applyProtection="1"/>
    <xf numFmtId="49" fontId="27" fillId="2" borderId="14" xfId="22" applyNumberFormat="1" applyFont="1" applyFill="1" applyBorder="1" applyAlignment="1" applyProtection="1"/>
    <xf numFmtId="49" fontId="27" fillId="2" borderId="15" xfId="22" applyNumberFormat="1" applyFont="1" applyFill="1" applyBorder="1" applyAlignment="1" applyProtection="1"/>
    <xf numFmtId="49" fontId="27" fillId="2" borderId="22" xfId="22" applyNumberFormat="1" applyFont="1" applyFill="1" applyBorder="1" applyAlignment="1" applyProtection="1"/>
    <xf numFmtId="49" fontId="27" fillId="2" borderId="10" xfId="22" applyNumberFormat="1" applyFont="1" applyFill="1" applyBorder="1" applyAlignment="1" applyProtection="1"/>
    <xf numFmtId="49" fontId="27" fillId="2" borderId="13" xfId="22" applyNumberFormat="1" applyFont="1" applyFill="1" applyBorder="1" applyAlignment="1" applyProtection="1"/>
    <xf numFmtId="49" fontId="27" fillId="2" borderId="14" xfId="22" applyNumberFormat="1" applyFont="1" applyFill="1" applyBorder="1" applyAlignment="1" applyProtection="1"/>
    <xf numFmtId="49" fontId="27" fillId="2" borderId="15" xfId="22" applyNumberFormat="1" applyFont="1" applyFill="1" applyBorder="1" applyAlignment="1" applyProtection="1"/>
    <xf numFmtId="37" fontId="0" fillId="2" borderId="11" xfId="0" applyNumberFormat="1" applyFill="1" applyBorder="1" applyProtection="1"/>
    <xf numFmtId="167" fontId="27" fillId="2" borderId="11" xfId="22" applyNumberFormat="1" applyFont="1" applyFill="1" applyBorder="1" applyProtection="1"/>
    <xf numFmtId="164" fontId="27" fillId="2" borderId="11" xfId="0" applyNumberFormat="1" applyFont="1" applyFill="1" applyBorder="1" applyProtection="1"/>
    <xf numFmtId="0" fontId="31" fillId="12" borderId="0" xfId="0" applyFont="1" applyFill="1" applyAlignment="1" applyProtection="1">
      <alignment horizontal="center"/>
    </xf>
    <xf numFmtId="0" fontId="29" fillId="12" borderId="0" xfId="0" applyFont="1" applyFill="1" applyAlignment="1" applyProtection="1">
      <alignment horizontal="center"/>
    </xf>
    <xf numFmtId="0" fontId="29" fillId="0" borderId="0" xfId="0" applyFont="1" applyFill="1" applyBorder="1" applyProtection="1"/>
    <xf numFmtId="3" fontId="77" fillId="0" borderId="10" xfId="0" applyNumberFormat="1" applyFont="1" applyFill="1" applyBorder="1" applyProtection="1"/>
    <xf numFmtId="164" fontId="77" fillId="0" borderId="10" xfId="0" applyNumberFormat="1" applyFont="1" applyFill="1" applyBorder="1" applyProtection="1"/>
    <xf numFmtId="167" fontId="77" fillId="0" borderId="10" xfId="0" applyNumberFormat="1" applyFont="1" applyFill="1" applyBorder="1" applyProtection="1"/>
    <xf numFmtId="167" fontId="0" fillId="0" borderId="11" xfId="0" applyNumberFormat="1" applyFill="1" applyBorder="1" applyProtection="1"/>
    <xf numFmtId="167" fontId="28" fillId="0" borderId="0" xfId="0" applyNumberFormat="1" applyFont="1" applyAlignment="1" applyProtection="1">
      <alignment horizontal="center" wrapText="1"/>
    </xf>
    <xf numFmtId="167" fontId="0" fillId="5" borderId="13" xfId="0" applyNumberFormat="1" applyFill="1" applyBorder="1" applyProtection="1"/>
    <xf numFmtId="0" fontId="30" fillId="2" borderId="13" xfId="0" applyNumberFormat="1" applyFont="1" applyFill="1" applyBorder="1" applyAlignment="1" applyProtection="1"/>
    <xf numFmtId="0" fontId="30" fillId="2" borderId="14" xfId="0" applyNumberFormat="1" applyFont="1" applyFill="1" applyBorder="1" applyAlignment="1" applyProtection="1"/>
    <xf numFmtId="0" fontId="30" fillId="2" borderId="15" xfId="0" applyNumberFormat="1" applyFont="1" applyFill="1" applyBorder="1" applyAlignment="1" applyProtection="1"/>
    <xf numFmtId="0" fontId="0" fillId="2" borderId="10" xfId="0" applyNumberFormat="1" applyFill="1" applyBorder="1" applyAlignment="1" applyProtection="1"/>
    <xf numFmtId="0" fontId="0" fillId="2" borderId="15" xfId="0" applyNumberFormat="1" applyFill="1" applyBorder="1" applyAlignment="1" applyProtection="1"/>
    <xf numFmtId="167" fontId="28" fillId="0" borderId="0" xfId="0" applyNumberFormat="1" applyFont="1" applyBorder="1" applyAlignment="1" applyProtection="1">
      <alignment horizontal="center" wrapText="1"/>
    </xf>
    <xf numFmtId="167" fontId="0" fillId="3" borderId="11" xfId="0" applyNumberFormat="1" applyFill="1" applyBorder="1" applyProtection="1"/>
    <xf numFmtId="167" fontId="0" fillId="2" borderId="18" xfId="0" applyNumberFormat="1" applyFill="1" applyBorder="1" applyProtection="1"/>
    <xf numFmtId="164" fontId="0" fillId="2" borderId="11" xfId="84" applyNumberFormat="1" applyFont="1" applyFill="1" applyBorder="1" applyProtection="1"/>
    <xf numFmtId="0" fontId="28" fillId="0" borderId="0" xfId="0" applyFont="1" applyAlignment="1" applyProtection="1">
      <alignment horizontal="center"/>
    </xf>
    <xf numFmtId="0" fontId="27" fillId="0" borderId="0" xfId="0" applyFont="1" applyAlignment="1" applyProtection="1"/>
    <xf numFmtId="0" fontId="0" fillId="0" borderId="0" xfId="0" applyAlignment="1" applyProtection="1"/>
    <xf numFmtId="44" fontId="0" fillId="5" borderId="11" xfId="58" applyFont="1" applyFill="1" applyBorder="1" applyProtection="1"/>
    <xf numFmtId="0" fontId="28" fillId="0" borderId="10" xfId="0" applyFont="1" applyBorder="1" applyAlignment="1" applyProtection="1">
      <alignment wrapText="1"/>
    </xf>
    <xf numFmtId="0" fontId="0" fillId="0" borderId="10" xfId="0" applyBorder="1" applyAlignment="1" applyProtection="1">
      <alignment wrapText="1"/>
    </xf>
    <xf numFmtId="49" fontId="55" fillId="2" borderId="22" xfId="21" applyNumberFormat="1" applyFill="1" applyBorder="1" applyAlignment="1" applyProtection="1"/>
    <xf numFmtId="49" fontId="55" fillId="2" borderId="10" xfId="21" applyNumberFormat="1" applyFill="1" applyBorder="1" applyAlignment="1" applyProtection="1"/>
    <xf numFmtId="49" fontId="55" fillId="2" borderId="15" xfId="21" applyNumberFormat="1" applyFill="1" applyBorder="1" applyAlignment="1" applyProtection="1"/>
    <xf numFmtId="49" fontId="55" fillId="2" borderId="13" xfId="21" applyNumberFormat="1" applyFill="1" applyBorder="1" applyAlignment="1" applyProtection="1"/>
    <xf numFmtId="0" fontId="55" fillId="0" borderId="14" xfId="21" applyBorder="1" applyAlignment="1" applyProtection="1"/>
    <xf numFmtId="0" fontId="55" fillId="0" borderId="15" xfId="21" applyBorder="1" applyAlignment="1" applyProtection="1"/>
    <xf numFmtId="49" fontId="55" fillId="2" borderId="14" xfId="21" applyNumberFormat="1" applyFill="1" applyBorder="1" applyAlignment="1" applyProtection="1"/>
    <xf numFmtId="44" fontId="0" fillId="5" borderId="0" xfId="58" applyFont="1" applyFill="1" applyProtection="1"/>
    <xf numFmtId="43" fontId="0" fillId="2" borderId="11" xfId="0" applyNumberFormat="1" applyFill="1" applyBorder="1" applyProtection="1"/>
    <xf numFmtId="49" fontId="27" fillId="4" borderId="13" xfId="2" applyNumberFormat="1" applyFont="1" applyFill="1" applyBorder="1" applyAlignment="1" applyProtection="1">
      <alignment shrinkToFit="1"/>
    </xf>
    <xf numFmtId="0" fontId="27" fillId="0" borderId="14" xfId="2" applyBorder="1" applyAlignment="1" applyProtection="1">
      <alignment shrinkToFit="1"/>
    </xf>
    <xf numFmtId="0" fontId="27" fillId="0" borderId="15" xfId="2" applyBorder="1" applyAlignment="1" applyProtection="1">
      <alignment shrinkToFit="1"/>
    </xf>
    <xf numFmtId="165" fontId="27" fillId="4" borderId="13" xfId="2" applyNumberFormat="1" applyFont="1" applyFill="1" applyBorder="1" applyAlignment="1" applyProtection="1">
      <alignment shrinkToFit="1"/>
    </xf>
    <xf numFmtId="1" fontId="27" fillId="2" borderId="11" xfId="2" applyNumberFormat="1" applyFill="1" applyBorder="1" applyProtection="1"/>
    <xf numFmtId="7" fontId="27" fillId="2" borderId="11" xfId="2" applyNumberFormat="1" applyFont="1" applyFill="1" applyBorder="1" applyProtection="1"/>
  </cellXfs>
  <cellStyles count="118">
    <cellStyle name="Comma" xfId="18" builtinId="3"/>
    <cellStyle name="Comma 10" xfId="84"/>
    <cellStyle name="Comma 10 2" xfId="59"/>
    <cellStyle name="Comma 2" xfId="5"/>
    <cellStyle name="Comma 2 2" xfId="45"/>
    <cellStyle name="Comma 2 2 2" xfId="102"/>
    <cellStyle name="Comma 2 3" xfId="50"/>
    <cellStyle name="Comma 2 3 2" xfId="107"/>
    <cellStyle name="Comma 2 4" xfId="56"/>
    <cellStyle name="Comma 2 5" xfId="76"/>
    <cellStyle name="Comma 3" xfId="14"/>
    <cellStyle name="Comma 3 2" xfId="70"/>
    <cellStyle name="Comma 4" xfId="25"/>
    <cellStyle name="Comma 4 2" xfId="67"/>
    <cellStyle name="Comma 4 3" xfId="88"/>
    <cellStyle name="Comma 5" xfId="35"/>
    <cellStyle name="Comma 5 2" xfId="95"/>
    <cellStyle name="Comma 6" xfId="37"/>
    <cellStyle name="Comma 7" xfId="38"/>
    <cellStyle name="Comma 8" xfId="41"/>
    <cellStyle name="Comma 8 2" xfId="98"/>
    <cellStyle name="Comma 9" xfId="64"/>
    <cellStyle name="Comma 9 2" xfId="115"/>
    <cellStyle name="Currency" xfId="19" builtinId="4"/>
    <cellStyle name="Currency 10 2" xfId="58"/>
    <cellStyle name="Currency 2" xfId="8"/>
    <cellStyle name="Currency 2 2" xfId="23"/>
    <cellStyle name="Currency 2 2 2" xfId="87"/>
    <cellStyle name="Currency 2 3" xfId="44"/>
    <cellStyle name="Currency 2 3 2" xfId="101"/>
    <cellStyle name="Currency 2 4" xfId="51"/>
    <cellStyle name="Currency 2 4 2" xfId="108"/>
    <cellStyle name="Currency 2 5" xfId="55"/>
    <cellStyle name="Currency 2 6" xfId="78"/>
    <cellStyle name="Currency 3" xfId="28"/>
    <cellStyle name="Currency 3 2" xfId="68"/>
    <cellStyle name="Currency 3 3" xfId="91"/>
    <cellStyle name="Currency 4" xfId="32"/>
    <cellStyle name="Currency 4 2" xfId="94"/>
    <cellStyle name="Currency 5" xfId="33"/>
    <cellStyle name="Currency 6" xfId="39"/>
    <cellStyle name="Currency 6 2" xfId="96"/>
    <cellStyle name="Currency 7" xfId="49"/>
    <cellStyle name="Currency 7 2" xfId="106"/>
    <cellStyle name="Currency 8" xfId="65"/>
    <cellStyle name="Currency 8 2" xfId="116"/>
    <cellStyle name="Currency 9" xfId="85"/>
    <cellStyle name="Hyperlink" xfId="117" builtinId="8"/>
    <cellStyle name="Hyperlink 2" xfId="16"/>
    <cellStyle name="Hyperlink 3" xfId="21"/>
    <cellStyle name="Hyperlink 4" xfId="34"/>
    <cellStyle name="Hyperlink 5" xfId="54"/>
    <cellStyle name="Normal" xfId="0" builtinId="0"/>
    <cellStyle name="Normal 10" xfId="27"/>
    <cellStyle name="Normal 10 2" xfId="90"/>
    <cellStyle name="Normal 11" xfId="30"/>
    <cellStyle name="Normal 11 2" xfId="92"/>
    <cellStyle name="Normal 12" xfId="36"/>
    <cellStyle name="Normal 13" xfId="46"/>
    <cellStyle name="Normal 13 2" xfId="103"/>
    <cellStyle name="Normal 14" xfId="48"/>
    <cellStyle name="Normal 14 2" xfId="105"/>
    <cellStyle name="Normal 15" xfId="57"/>
    <cellStyle name="Normal 15 2" xfId="111"/>
    <cellStyle name="Normal 16" xfId="62"/>
    <cellStyle name="Normal 16 2" xfId="113"/>
    <cellStyle name="Normal 17" xfId="71"/>
    <cellStyle name="Normal 18" xfId="73"/>
    <cellStyle name="Normal 19" xfId="72"/>
    <cellStyle name="Normal 2" xfId="2"/>
    <cellStyle name="Normal 2 2" xfId="52"/>
    <cellStyle name="Normal 2 2 2" xfId="109"/>
    <cellStyle name="Normal 2 3" xfId="66"/>
    <cellStyle name="Normal 3" xfId="3"/>
    <cellStyle name="Normal 3 2" xfId="7"/>
    <cellStyle name="Normal 3 3" xfId="10"/>
    <cellStyle name="Normal 3 3 2" xfId="80"/>
    <cellStyle name="Normal 3 4" xfId="29"/>
    <cellStyle name="Normal 3 5" xfId="42"/>
    <cellStyle name="Normal 3 5 2" xfId="99"/>
    <cellStyle name="Normal 3 6" xfId="75"/>
    <cellStyle name="Normal 4" xfId="4"/>
    <cellStyle name="Normal 5" xfId="9"/>
    <cellStyle name="Normal 5 2" xfId="79"/>
    <cellStyle name="Normal 6" xfId="12"/>
    <cellStyle name="Normal 6 2" xfId="22"/>
    <cellStyle name="Normal 6 3" xfId="81"/>
    <cellStyle name="Normal 7" xfId="13"/>
    <cellStyle name="Normal 7 2" xfId="82"/>
    <cellStyle name="Normal 8" xfId="17"/>
    <cellStyle name="Normal 8 2" xfId="83"/>
    <cellStyle name="Normal 9" xfId="20"/>
    <cellStyle name="Normal 9 2" xfId="86"/>
    <cellStyle name="Percent" xfId="1" builtinId="5"/>
    <cellStyle name="Percent 10" xfId="24"/>
    <cellStyle name="Percent 10 2 2" xfId="60"/>
    <cellStyle name="Percent 11" xfId="74"/>
    <cellStyle name="Percent 2" xfId="6"/>
    <cellStyle name="Percent 2 2" xfId="15"/>
    <cellStyle name="Percent 2 3" xfId="43"/>
    <cellStyle name="Percent 2 3 2" xfId="100"/>
    <cellStyle name="Percent 2 4" xfId="61"/>
    <cellStyle name="Percent 2 4 2" xfId="112"/>
    <cellStyle name="Percent 2 5" xfId="77"/>
    <cellStyle name="Percent 3" xfId="11"/>
    <cellStyle name="Percent 3 2" xfId="69"/>
    <cellStyle name="Percent 4" xfId="26"/>
    <cellStyle name="Percent 4 2" xfId="89"/>
    <cellStyle name="Percent 5" xfId="31"/>
    <cellStyle name="Percent 5 2" xfId="93"/>
    <cellStyle name="Percent 6" xfId="40"/>
    <cellStyle name="Percent 6 2" xfId="97"/>
    <cellStyle name="Percent 7" xfId="47"/>
    <cellStyle name="Percent 7 2" xfId="104"/>
    <cellStyle name="Percent 8" xfId="53"/>
    <cellStyle name="Percent 8 2" xfId="110"/>
    <cellStyle name="Percent 9" xfId="63"/>
    <cellStyle name="Percent 9 2" xfId="114"/>
  </cellStyles>
  <dxfs count="0"/>
  <tableStyles count="0" defaultTableStyle="TableStyleMedium9" defaultPivotStyle="PivotStyleLight16"/>
  <colors>
    <mruColors>
      <color rgb="FFB8CCE4"/>
      <color rgb="FFB8E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8.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3.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FY2009 - FY2018 Rate Support for Charity Care</a:t>
            </a:r>
          </a:p>
          <a:p>
            <a:pPr>
              <a:defRPr/>
            </a:pPr>
            <a:r>
              <a:rPr lang="en-US" sz="1200" baseline="0"/>
              <a:t>(in millions)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17"/>
          <c:w val="0.87140846625634893"/>
          <c:h val="0.5471602508019825"/>
        </c:manualLayout>
      </c:layout>
      <c:lineChart>
        <c:grouping val="standard"/>
        <c:varyColors val="0"/>
        <c:ser>
          <c:idx val="0"/>
          <c:order val="0"/>
          <c:tx>
            <c:strRef>
              <c:f>Figures!$B$21</c:f>
              <c:strCache>
                <c:ptCount val="1"/>
                <c:pt idx="0">
                  <c:v>Charity Care</c:v>
                </c:pt>
              </c:strCache>
            </c:strRef>
          </c:tx>
          <c:spPr>
            <a:ln w="28575" cap="rnd">
              <a:solidFill>
                <a:schemeClr val="accent1"/>
              </a:solidFill>
              <a:round/>
            </a:ln>
            <a:effectLst/>
          </c:spPr>
          <c:marker>
            <c:symbol val="none"/>
          </c:marker>
          <c:cat>
            <c:numRef>
              <c:f>Figures!$A$22:$A$31</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Figures!$B$22:$B$31</c:f>
              <c:numCache>
                <c:formatCode>"$"#,##0_);[Red]\("$"#,##0\)</c:formatCode>
                <c:ptCount val="10"/>
                <c:pt idx="0">
                  <c:v>269.06009499999999</c:v>
                </c:pt>
                <c:pt idx="1">
                  <c:v>312.049419</c:v>
                </c:pt>
                <c:pt idx="2">
                  <c:v>374.89863100000002</c:v>
                </c:pt>
                <c:pt idx="3">
                  <c:v>442.00888400000002</c:v>
                </c:pt>
                <c:pt idx="4">
                  <c:v>462.590418</c:v>
                </c:pt>
                <c:pt idx="5">
                  <c:v>463.908838</c:v>
                </c:pt>
                <c:pt idx="6">
                  <c:v>428.14220477171256</c:v>
                </c:pt>
                <c:pt idx="7">
                  <c:v>343.87975935278638</c:v>
                </c:pt>
                <c:pt idx="8">
                  <c:v>307.57909999999998</c:v>
                </c:pt>
                <c:pt idx="9">
                  <c:v>301.54137674841866</c:v>
                </c:pt>
              </c:numCache>
            </c:numRef>
          </c:val>
          <c:smooth val="0"/>
          <c:extLst xmlns:c16r2="http://schemas.microsoft.com/office/drawing/2015/06/chart">
            <c:ext xmlns:c16="http://schemas.microsoft.com/office/drawing/2014/chart" uri="{C3380CC4-5D6E-409C-BE32-E72D297353CC}">
              <c16:uniqueId val="{00000000-5FD8-4339-9B40-05942050F32A}"/>
            </c:ext>
          </c:extLst>
        </c:ser>
        <c:dLbls>
          <c:showLegendKey val="0"/>
          <c:showVal val="0"/>
          <c:showCatName val="0"/>
          <c:showSerName val="0"/>
          <c:showPercent val="0"/>
          <c:showBubbleSize val="0"/>
        </c:dLbls>
        <c:smooth val="0"/>
        <c:axId val="97944912"/>
        <c:axId val="97941384"/>
      </c:lineChart>
      <c:catAx>
        <c:axId val="9794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41384"/>
        <c:crosses val="autoZero"/>
        <c:auto val="1"/>
        <c:lblAlgn val="ctr"/>
        <c:lblOffset val="100"/>
        <c:noMultiLvlLbl val="0"/>
      </c:catAx>
      <c:valAx>
        <c:axId val="979413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44912"/>
        <c:crosses val="autoZero"/>
        <c:crossBetween val="between"/>
        <c:majorUnit val="1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r>
              <a:rPr lang="en-US"/>
              <a:t>FY2009-FY2018</a:t>
            </a:r>
            <a:r>
              <a:rPr lang="en-US" baseline="0"/>
              <a:t> Community Benefit Expense</a:t>
            </a:r>
          </a:p>
          <a:p>
            <a:pPr algn="ctr">
              <a:defRPr/>
            </a:pPr>
            <a:r>
              <a:rPr lang="en-US" sz="1100" baseline="0"/>
              <a:t>(in millions)</a:t>
            </a:r>
            <a:endParaRPr lang="en-US" sz="1100"/>
          </a:p>
        </c:rich>
      </c:tx>
      <c:layout>
        <c:manualLayout>
          <c:xMode val="edge"/>
          <c:yMode val="edge"/>
          <c:x val="0.22909102641278678"/>
          <c:y val="4.2424252546946442E-2"/>
        </c:manualLayout>
      </c:layout>
      <c:overlay val="0"/>
      <c:spPr>
        <a:noFill/>
        <a:ln>
          <a:noFill/>
        </a:ln>
        <a:effectLst/>
      </c:spPr>
      <c:txPr>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Figures!$B$44</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Figures!$B$45:$B$54</c:f>
              <c:numCache>
                <c:formatCode>"$"#,##0_);[Red]\("$"#,##0\)</c:formatCode>
                <c:ptCount val="10"/>
                <c:pt idx="0">
                  <c:v>946.2381640606277</c:v>
                </c:pt>
                <c:pt idx="1">
                  <c:v>1051.0517503757258</c:v>
                </c:pt>
                <c:pt idx="2">
                  <c:v>1203.0176928095927</c:v>
                </c:pt>
                <c:pt idx="3">
                  <c:v>1378.3019303951344</c:v>
                </c:pt>
                <c:pt idx="4">
                  <c:v>1505.554321846221</c:v>
                </c:pt>
                <c:pt idx="5">
                  <c:v>1498.125311</c:v>
                </c:pt>
                <c:pt idx="6">
                  <c:v>1477.3026560000001</c:v>
                </c:pt>
                <c:pt idx="7">
                  <c:v>1523.6728668289177</c:v>
                </c:pt>
                <c:pt idx="8">
                  <c:v>1562.5152129999999</c:v>
                </c:pt>
                <c:pt idx="9">
                  <c:v>1748.4416889699364</c:v>
                </c:pt>
              </c:numCache>
            </c:numRef>
          </c:val>
          <c:extLst xmlns:c16r2="http://schemas.microsoft.com/office/drawing/2015/06/chart">
            <c:ext xmlns:c16="http://schemas.microsoft.com/office/drawing/2014/chart" uri="{C3380CC4-5D6E-409C-BE32-E72D297353CC}">
              <c16:uniqueId val="{00000000-F6C5-4B70-9AED-B54BFF492E8C}"/>
            </c:ext>
          </c:extLst>
        </c:ser>
        <c:ser>
          <c:idx val="1"/>
          <c:order val="1"/>
          <c:tx>
            <c:strRef>
              <c:f>Figures!$C$44</c:f>
              <c:strCache>
                <c:ptCount val="1"/>
                <c:pt idx="0">
                  <c:v>CB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Figures!$C$45:$C$54</c:f>
              <c:numCache>
                <c:formatCode>"$"#,##0_);[Red]\("$"#,##0\)</c:formatCode>
                <c:ptCount val="10"/>
                <c:pt idx="0">
                  <c:v>452.96287606062765</c:v>
                </c:pt>
                <c:pt idx="1">
                  <c:v>515.46260137572574</c:v>
                </c:pt>
                <c:pt idx="2">
                  <c:v>580.41547980959274</c:v>
                </c:pt>
                <c:pt idx="3">
                  <c:v>651.68681639513431</c:v>
                </c:pt>
                <c:pt idx="4">
                  <c:v>713.44631884622095</c:v>
                </c:pt>
                <c:pt idx="5">
                  <c:v>724.6684919999999</c:v>
                </c:pt>
                <c:pt idx="6">
                  <c:v>731.20237529969745</c:v>
                </c:pt>
                <c:pt idx="7">
                  <c:v>827.66715307936329</c:v>
                </c:pt>
                <c:pt idx="8">
                  <c:v>895.94846399999994</c:v>
                </c:pt>
                <c:pt idx="9">
                  <c:v>1086.1815225812393</c:v>
                </c:pt>
              </c:numCache>
            </c:numRef>
          </c:val>
          <c:extLst xmlns:c16r2="http://schemas.microsoft.com/office/drawing/2015/06/chart">
            <c:ext xmlns:c16="http://schemas.microsoft.com/office/drawing/2014/chart" uri="{C3380CC4-5D6E-409C-BE32-E72D297353CC}">
              <c16:uniqueId val="{00000001-F6C5-4B70-9AED-B54BFF492E8C}"/>
            </c:ext>
          </c:extLst>
        </c:ser>
        <c:dLbls>
          <c:showLegendKey val="0"/>
          <c:showVal val="0"/>
          <c:showCatName val="0"/>
          <c:showSerName val="0"/>
          <c:showPercent val="0"/>
          <c:showBubbleSize val="0"/>
        </c:dLbls>
        <c:gapWidth val="219"/>
        <c:overlap val="-27"/>
        <c:axId val="192711696"/>
        <c:axId val="192710912"/>
      </c:barChart>
      <c:catAx>
        <c:axId val="19271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10912"/>
        <c:crosses val="autoZero"/>
        <c:auto val="1"/>
        <c:lblAlgn val="ctr"/>
        <c:lblOffset val="100"/>
        <c:noMultiLvlLbl val="0"/>
      </c:catAx>
      <c:valAx>
        <c:axId val="1927109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11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FY2009-FY2018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34680060393694734"/>
          <c:y val="3.8639252563907864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Figures!$B$68</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Figures!$B$69:$B$78</c:f>
              <c:numCache>
                <c:formatCode>0.0%</c:formatCode>
                <c:ptCount val="10"/>
                <c:pt idx="0">
                  <c:v>7.6047485522008823E-2</c:v>
                </c:pt>
                <c:pt idx="1">
                  <c:v>8.3101643398462613E-2</c:v>
                </c:pt>
                <c:pt idx="2">
                  <c:v>9.2258868211991238E-2</c:v>
                </c:pt>
                <c:pt idx="3">
                  <c:v>0.10185384603002651</c:v>
                </c:pt>
                <c:pt idx="4">
                  <c:v>0.1104988049791147</c:v>
                </c:pt>
                <c:pt idx="5">
                  <c:v>0.10620841479725308</c:v>
                </c:pt>
                <c:pt idx="6">
                  <c:v>0.10054156065587122</c:v>
                </c:pt>
                <c:pt idx="7">
                  <c:v>9.3308531422878357E-2</c:v>
                </c:pt>
                <c:pt idx="8">
                  <c:v>9.8678472055513361E-2</c:v>
                </c:pt>
                <c:pt idx="9">
                  <c:v>0.1083059645415272</c:v>
                </c:pt>
              </c:numCache>
            </c:numRef>
          </c:val>
          <c:extLst xmlns:c16r2="http://schemas.microsoft.com/office/drawing/2015/06/chart">
            <c:ext xmlns:c16="http://schemas.microsoft.com/office/drawing/2014/chart" uri="{C3380CC4-5D6E-409C-BE32-E72D297353CC}">
              <c16:uniqueId val="{00000000-1C9D-4806-B6E4-77F6A94A2B72}"/>
            </c:ext>
          </c:extLst>
        </c:ser>
        <c:ser>
          <c:idx val="1"/>
          <c:order val="1"/>
          <c:tx>
            <c:strRef>
              <c:f>Figures!$C$68</c:f>
              <c:strCache>
                <c:ptCount val="1"/>
                <c:pt idx="0">
                  <c:v>% of Operating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Figures!$C$69:$C$78</c:f>
              <c:numCache>
                <c:formatCode>0.0%</c:formatCode>
                <c:ptCount val="10"/>
                <c:pt idx="0">
                  <c:v>3.6403824182493001E-2</c:v>
                </c:pt>
                <c:pt idx="1">
                  <c:v>4.0755166688468646E-2</c:v>
                </c:pt>
                <c:pt idx="2">
                  <c:v>4.4511793617010624E-2</c:v>
                </c:pt>
                <c:pt idx="3">
                  <c:v>4.8158394901093353E-2</c:v>
                </c:pt>
                <c:pt idx="4">
                  <c:v>5.2362750719338144E-2</c:v>
                </c:pt>
                <c:pt idx="5">
                  <c:v>5.1374802377152994E-2</c:v>
                </c:pt>
                <c:pt idx="6">
                  <c:v>4.9763823052323575E-2</c:v>
                </c:pt>
                <c:pt idx="7">
                  <c:v>5.0685687355920786E-2</c:v>
                </c:pt>
                <c:pt idx="8">
                  <c:v>5.6582377395389953E-2</c:v>
                </c:pt>
                <c:pt idx="9">
                  <c:v>6.7282734226985413E-2</c:v>
                </c:pt>
              </c:numCache>
            </c:numRef>
          </c:val>
          <c:extLst xmlns:c16r2="http://schemas.microsoft.com/office/drawing/2015/06/chart">
            <c:ext xmlns:c16="http://schemas.microsoft.com/office/drawing/2014/chart" uri="{C3380CC4-5D6E-409C-BE32-E72D297353CC}">
              <c16:uniqueId val="{00000001-1C9D-4806-B6E4-77F6A94A2B72}"/>
            </c:ext>
          </c:extLst>
        </c:ser>
        <c:dLbls>
          <c:showLegendKey val="0"/>
          <c:showVal val="1"/>
          <c:showCatName val="0"/>
          <c:showSerName val="0"/>
          <c:showPercent val="0"/>
          <c:showBubbleSize val="0"/>
        </c:dLbls>
        <c:gapWidth val="219"/>
        <c:overlap val="-27"/>
        <c:axId val="192711304"/>
        <c:axId val="192712088"/>
      </c:barChart>
      <c:catAx>
        <c:axId val="192711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12088"/>
        <c:crosses val="autoZero"/>
        <c:auto val="1"/>
        <c:lblAlgn val="ctr"/>
        <c:lblOffset val="100"/>
        <c:noMultiLvlLbl val="0"/>
      </c:catAx>
      <c:valAx>
        <c:axId val="192712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11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Community</a:t>
            </a:r>
            <a:r>
              <a:rPr lang="en-US" baseline="0"/>
              <a:t> Benefit</a:t>
            </a:r>
            <a:r>
              <a:rPr lang="en-US"/>
              <a:t> Expenditures With and Without Rate Support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642923204464371E-2"/>
          <c:y val="0.19968425809503534"/>
          <c:w val="0.90858596445359274"/>
          <c:h val="0.36858281992287234"/>
        </c:manualLayout>
      </c:layout>
      <c:barChart>
        <c:barDir val="col"/>
        <c:grouping val="clustered"/>
        <c:varyColors val="0"/>
        <c:ser>
          <c:idx val="0"/>
          <c:order val="0"/>
          <c:tx>
            <c:strRef>
              <c:f>Figures!$B$2</c:f>
              <c:strCache>
                <c:ptCount val="1"/>
                <c:pt idx="0">
                  <c:v>Percent of Total CB Expenditures</c:v>
                </c:pt>
              </c:strCache>
            </c:strRef>
          </c:tx>
          <c:spPr>
            <a:solidFill>
              <a:schemeClr val="accent1"/>
            </a:solidFill>
            <a:ln>
              <a:noFill/>
            </a:ln>
            <a:effectLst/>
          </c:spPr>
          <c:invertIfNegative val="0"/>
          <c:dLbls>
            <c:dLbl>
              <c:idx val="1"/>
              <c:layout>
                <c:manualLayout>
                  <c:x val="-6.782273273811409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034-4DAF-8611-FA1E1772FAEB}"/>
                </c:ext>
                <c:ext xmlns:c15="http://schemas.microsoft.com/office/drawing/2012/chart" uri="{CE6537A1-D6FC-4f65-9D91-7224C49458BB}">
                  <c15:layout/>
                </c:ext>
              </c:extLst>
            </c:dLbl>
            <c:dLbl>
              <c:idx val="2"/>
              <c:layout>
                <c:manualLayout>
                  <c:x val="5.0867049553584304E-3"/>
                  <c:y val="-1.095464324845727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034-4DAF-8611-FA1E1772FAEB}"/>
                </c:ext>
                <c:ext xmlns:c15="http://schemas.microsoft.com/office/drawing/2012/chart" uri="{CE6537A1-D6FC-4f65-9D91-7224C49458BB}">
                  <c15:layout/>
                </c:ext>
              </c:extLst>
            </c:dLbl>
            <c:dLbl>
              <c:idx val="4"/>
              <c:layout>
                <c:manualLayout>
                  <c:x val="-5.0867049553586534E-3"/>
                  <c:y val="-5.477321624228623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034-4DAF-8611-FA1E1772FAE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Figures!$B$3:$B$11</c:f>
              <c:numCache>
                <c:formatCode>0%</c:formatCode>
                <c:ptCount val="9"/>
                <c:pt idx="0">
                  <c:v>0.17772709473410028</c:v>
                </c:pt>
                <c:pt idx="1">
                  <c:v>0.35177181795417811</c:v>
                </c:pt>
                <c:pt idx="2">
                  <c:v>0.32086238510356985</c:v>
                </c:pt>
                <c:pt idx="3">
                  <c:v>7.2877132822577809E-2</c:v>
                </c:pt>
                <c:pt idx="4">
                  <c:v>3.2301251319739849E-2</c:v>
                </c:pt>
                <c:pt idx="5">
                  <c:v>1.8251797075367567E-2</c:v>
                </c:pt>
                <c:pt idx="6">
                  <c:v>8.2015393117848903E-3</c:v>
                </c:pt>
                <c:pt idx="7">
                  <c:v>6.6375632334188233E-3</c:v>
                </c:pt>
                <c:pt idx="8">
                  <c:v>8.3184545664735359E-3</c:v>
                </c:pt>
              </c:numCache>
            </c:numRef>
          </c:val>
          <c:extLst xmlns:c16r2="http://schemas.microsoft.com/office/drawing/2015/06/chart">
            <c:ext xmlns:c16="http://schemas.microsoft.com/office/drawing/2014/chart" uri="{C3380CC4-5D6E-409C-BE32-E72D297353CC}">
              <c16:uniqueId val="{00000003-E034-4DAF-8611-FA1E1772FAEB}"/>
            </c:ext>
          </c:extLst>
        </c:ser>
        <c:ser>
          <c:idx val="1"/>
          <c:order val="1"/>
          <c:tx>
            <c:strRef>
              <c:f>Figures!$C$2</c:f>
              <c:strCache>
                <c:ptCount val="1"/>
                <c:pt idx="0">
                  <c:v>Percent of Total CB Expenditures w/o Rate Support</c:v>
                </c:pt>
              </c:strCache>
            </c:strRef>
          </c:tx>
          <c:spPr>
            <a:solidFill>
              <a:schemeClr val="accent2"/>
            </a:solidFill>
            <a:ln>
              <a:noFill/>
            </a:ln>
            <a:effectLst/>
          </c:spPr>
          <c:invertIfNegative val="0"/>
          <c:dLbls>
            <c:dLbl>
              <c:idx val="0"/>
              <c:layout>
                <c:manualLayout>
                  <c:x val="6.7822732738113478E-3"/>
                  <c:y val="1.919218994316231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034-4DAF-8611-FA1E1772FAEB}"/>
                </c:ext>
                <c:ext xmlns:c15="http://schemas.microsoft.com/office/drawing/2012/chart" uri="{CE6537A1-D6FC-4f65-9D91-7224C49458BB}">
                  <c15:layout/>
                </c:ext>
              </c:extLst>
            </c:dLbl>
            <c:dLbl>
              <c:idx val="1"/>
              <c:layout>
                <c:manualLayout>
                  <c:x val="3.3911366369056002E-3"/>
                  <c:y val="-2.510410077300076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034-4DAF-8611-FA1E1772FAEB}"/>
                </c:ext>
                <c:ext xmlns:c15="http://schemas.microsoft.com/office/drawing/2012/chart" uri="{CE6537A1-D6FC-4f65-9D91-7224C49458BB}">
                  <c15:layout/>
                </c:ext>
              </c:extLst>
            </c:dLbl>
            <c:dLbl>
              <c:idx val="2"/>
              <c:layout>
                <c:manualLayout>
                  <c:x val="1.186897822916994E-2"/>
                  <c:y val="-8.215982436342852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034-4DAF-8611-FA1E1772FAEB}"/>
                </c:ext>
                <c:ext xmlns:c15="http://schemas.microsoft.com/office/drawing/2012/chart" uri="{CE6537A1-D6FC-4f65-9D91-7224C49458BB}">
                  <c15:layout/>
                </c:ext>
              </c:extLst>
            </c:dLbl>
            <c:dLbl>
              <c:idx val="3"/>
              <c:layout>
                <c:manualLayout>
                  <c:x val="8.4778415922641247E-3"/>
                  <c:y val="-5.477321624228623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034-4DAF-8611-FA1E1772FAE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Figures!$C$3:$C$11</c:f>
              <c:numCache>
                <c:formatCode>0%</c:formatCode>
                <c:ptCount val="9"/>
                <c:pt idx="0">
                  <c:v>8.4691250787272115E-3</c:v>
                </c:pt>
                <c:pt idx="1">
                  <c:v>0.56625797194519834</c:v>
                </c:pt>
                <c:pt idx="2">
                  <c:v>0.18439485728812524</c:v>
                </c:pt>
                <c:pt idx="3">
                  <c:v>0.11731257402396357</c:v>
                </c:pt>
                <c:pt idx="4">
                  <c:v>5.199632298568789E-2</c:v>
                </c:pt>
                <c:pt idx="5">
                  <c:v>2.9380482087394532E-2</c:v>
                </c:pt>
                <c:pt idx="6">
                  <c:v>1.3202271417106762E-2</c:v>
                </c:pt>
                <c:pt idx="7">
                  <c:v>1.0684690766510888E-2</c:v>
                </c:pt>
                <c:pt idx="8">
                  <c:v>1.3390473517532196E-2</c:v>
                </c:pt>
              </c:numCache>
            </c:numRef>
          </c:val>
          <c:extLst xmlns:c16r2="http://schemas.microsoft.com/office/drawing/2015/06/chart">
            <c:ext xmlns:c16="http://schemas.microsoft.com/office/drawing/2014/chart" uri="{C3380CC4-5D6E-409C-BE32-E72D297353CC}">
              <c16:uniqueId val="{00000008-E034-4DAF-8611-FA1E1772FAEB}"/>
            </c:ext>
          </c:extLst>
        </c:ser>
        <c:dLbls>
          <c:showLegendKey val="0"/>
          <c:showVal val="1"/>
          <c:showCatName val="0"/>
          <c:showSerName val="0"/>
          <c:showPercent val="0"/>
          <c:showBubbleSize val="0"/>
        </c:dLbls>
        <c:gapWidth val="219"/>
        <c:overlap val="-27"/>
        <c:axId val="192710128"/>
        <c:axId val="192709736"/>
      </c:barChart>
      <c:catAx>
        <c:axId val="192710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9736"/>
        <c:crosses val="autoZero"/>
        <c:auto val="1"/>
        <c:lblAlgn val="ctr"/>
        <c:lblOffset val="300"/>
        <c:noMultiLvlLbl val="0"/>
      </c:catAx>
      <c:valAx>
        <c:axId val="192709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10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129887</xdr:colOff>
      <xdr:row>16</xdr:row>
      <xdr:rowOff>189057</xdr:rowOff>
    </xdr:from>
    <xdr:to>
      <xdr:col>14</xdr:col>
      <xdr:colOff>590264</xdr:colOff>
      <xdr:row>34</xdr:row>
      <xdr:rowOff>189057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115454</xdr:colOff>
      <xdr:row>39</xdr:row>
      <xdr:rowOff>134216</xdr:rowOff>
    </xdr:from>
    <xdr:to>
      <xdr:col>14</xdr:col>
      <xdr:colOff>525318</xdr:colOff>
      <xdr:row>59</xdr:row>
      <xdr:rowOff>134215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620402</xdr:colOff>
      <xdr:row>66</xdr:row>
      <xdr:rowOff>367855</xdr:rowOff>
    </xdr:from>
    <xdr:to>
      <xdr:col>13</xdr:col>
      <xdr:colOff>166501</xdr:colOff>
      <xdr:row>85</xdr:row>
      <xdr:rowOff>71787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44378</xdr:colOff>
      <xdr:row>1</xdr:row>
      <xdr:rowOff>27781</xdr:rowOff>
    </xdr:from>
    <xdr:to>
      <xdr:col>14</xdr:col>
      <xdr:colOff>589901</xdr:colOff>
      <xdr:row>16</xdr:row>
      <xdr:rowOff>41129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0.04846</cdr:x>
      <cdr:y>0.87404</cdr:y>
    </cdr:from>
    <cdr:to>
      <cdr:x>0.19751</cdr:x>
      <cdr:y>1</cdr:y>
    </cdr:to>
    <cdr:sp macro="" textlink="">
      <cdr:nvSpPr>
        <cdr:cNvPr id="2" name="TextBox 1"/>
        <cdr:cNvSpPr txBox="1"/>
      </cdr:nvSpPr>
      <cdr:spPr>
        <a:xfrm xmlns:a="http://schemas.openxmlformats.org/drawingml/2006/main">
          <a:off x="297296" y="3554916"/>
          <a:ext cx="914400" cy="512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0.03576</cdr:x>
      <cdr:y>0.94428</cdr:y>
    </cdr:from>
    <cdr:to>
      <cdr:x>0.1848</cdr:x>
      <cdr:y>1</cdr:y>
    </cdr:to>
    <cdr:sp macro="" textlink="">
      <cdr:nvSpPr>
        <cdr:cNvPr id="3" name="TextBox 2"/>
        <cdr:cNvSpPr txBox="1"/>
      </cdr:nvSpPr>
      <cdr:spPr>
        <a:xfrm xmlns:a="http://schemas.openxmlformats.org/drawingml/2006/main">
          <a:off x="271988" y="4127500"/>
          <a:ext cx="1133588" cy="2435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Financial%20Reporting\Community%20Benefit\Community%20Benefit%20SFY%202018\FY2018%20AHC_Community%20Benefit%20Financial%20Reporting_Master%20Data%20Collection%20Lis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Financial%20Reporting\Community%20Benefit\Community%20Benefit%20SFY%202018\7%20-%20Additional%20Reports\Copy%20of%202017%20Financial%20Statement%20Worksheet%20File_Audit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projects\HSCRC-Community%20Benefit%20Reporting\FY%202018%20Financials\MedStar%20Union%20Memorial_FY18-CBR-0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Community%20Benefits\FY18\final\MHE%20DGH%20Inventory%202018%20Draft%20Review%20final%20%20AD11.26.1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projects\HSCRC-Community%20Benefit%20Reporting\FY%202018%20Financials\UM%20BWMC_FY18-CBR-004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WILLIAM\AppData\Local\Microsoft\Windows\Temporary%20Internet%20Files\Content.Outlook\TN51YYFR\Copy%20of%20FY2018-CommunityBenefitDataCollectionTool%2011%202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mmunity%20Relations\Community%20Benefit\FY18\CBR%202018%20suppor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MC\FINANCE-SHARE\Community%20Benefit%20Reports%20-%20HSCRC\CBR%2012%2018\FY18%20Community%20Benefits%20Report%20W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 Master List - FY18 &amp; CY17"/>
      <sheetName val="Main Notes"/>
      <sheetName val="Support Center Percentages"/>
      <sheetName val="Category T"/>
      <sheetName val="Category A"/>
      <sheetName val="Category B"/>
      <sheetName val="Category C"/>
      <sheetName val="Category D"/>
      <sheetName val="Category E"/>
      <sheetName val="Category F"/>
      <sheetName val="Category G"/>
      <sheetName val="Category H"/>
      <sheetName val="CY17 FY18 CB Planning-Contacts"/>
      <sheetName val="Sheet1"/>
    </sheetNames>
    <sheetDataSet>
      <sheetData sheetId="0">
        <row r="9">
          <cell r="I9">
            <v>8849644.8370519951</v>
          </cell>
        </row>
        <row r="11">
          <cell r="CM11">
            <v>0</v>
          </cell>
          <cell r="CN11">
            <v>0</v>
          </cell>
          <cell r="CO11">
            <v>0</v>
          </cell>
          <cell r="CQ11">
            <v>0</v>
          </cell>
        </row>
        <row r="40">
          <cell r="G40">
            <v>5096.7879144349308</v>
          </cell>
          <cell r="H40">
            <v>4678.4800793518734</v>
          </cell>
          <cell r="I40">
            <v>222296.63922300364</v>
          </cell>
          <cell r="K40">
            <v>10894.661000000002</v>
          </cell>
          <cell r="AB40">
            <v>3675.1294802734474</v>
          </cell>
          <cell r="AC40">
            <v>670.65106171315233</v>
          </cell>
          <cell r="AD40">
            <v>175414.12095969002</v>
          </cell>
          <cell r="AF40">
            <v>8582.8139358000008</v>
          </cell>
          <cell r="CM40">
            <v>493.18063195504322</v>
          </cell>
          <cell r="CN40">
            <v>28.952425639198371</v>
          </cell>
          <cell r="CO40">
            <v>24670.015217600001</v>
          </cell>
          <cell r="CQ40">
            <v>1220.2020320000004</v>
          </cell>
        </row>
        <row r="59">
          <cell r="G59">
            <v>1525.4850000000001</v>
          </cell>
          <cell r="I59">
            <v>119841.2677925</v>
          </cell>
          <cell r="K59">
            <v>30776.171149999998</v>
          </cell>
          <cell r="AB59">
            <v>1201.7770829999999</v>
          </cell>
          <cell r="AD59">
            <v>94410.950766931492</v>
          </cell>
          <cell r="AF59">
            <v>24245.467631969997</v>
          </cell>
          <cell r="CM59">
            <v>856.35432000000003</v>
          </cell>
          <cell r="CN59">
            <v>763</v>
          </cell>
          <cell r="CO59">
            <v>25478.221992760002</v>
          </cell>
          <cell r="CQ59">
            <v>4646.9311688000007</v>
          </cell>
        </row>
        <row r="64">
          <cell r="G64">
            <v>537.6</v>
          </cell>
          <cell r="I64">
            <v>22449.301449999999</v>
          </cell>
          <cell r="K64">
            <v>1616.6630000000002</v>
          </cell>
          <cell r="AB64">
            <v>423.52127999999999</v>
          </cell>
          <cell r="AD64">
            <v>17685.559682309999</v>
          </cell>
          <cell r="AF64">
            <v>1273.6071114000001</v>
          </cell>
          <cell r="CM64">
            <v>60.211200000000005</v>
          </cell>
          <cell r="CN64">
            <v>0</v>
          </cell>
          <cell r="CO64">
            <v>2514.3217623999999</v>
          </cell>
          <cell r="CQ64">
            <v>181.06625600000004</v>
          </cell>
        </row>
        <row r="76">
          <cell r="G76">
            <v>7868.57</v>
          </cell>
          <cell r="H76">
            <v>2741</v>
          </cell>
          <cell r="I76">
            <v>614877.72</v>
          </cell>
          <cell r="AB76">
            <v>1471.9</v>
          </cell>
          <cell r="AC76">
            <v>1781</v>
          </cell>
          <cell r="CM76">
            <v>18319</v>
          </cell>
          <cell r="CN76">
            <v>11009</v>
          </cell>
          <cell r="CO76">
            <v>587167.81000000006</v>
          </cell>
          <cell r="CQ76">
            <v>186450</v>
          </cell>
        </row>
        <row r="93">
          <cell r="G93">
            <v>2450.87</v>
          </cell>
          <cell r="I93">
            <v>76509.832729999995</v>
          </cell>
          <cell r="K93">
            <v>5733.8750000000009</v>
          </cell>
          <cell r="AB93">
            <v>1930.7953859999998</v>
          </cell>
          <cell r="AD93">
            <v>60274.446224693995</v>
          </cell>
          <cell r="AF93">
            <v>4517.1467250000005</v>
          </cell>
          <cell r="CM93">
            <v>274.49743999999998</v>
          </cell>
          <cell r="CN93">
            <v>0</v>
          </cell>
          <cell r="CO93">
            <v>8569.1012657600004</v>
          </cell>
          <cell r="CQ93">
            <v>642.19400000000007</v>
          </cell>
        </row>
        <row r="96">
          <cell r="CM96">
            <v>0</v>
          </cell>
          <cell r="CN96">
            <v>0</v>
          </cell>
          <cell r="CO96">
            <v>0</v>
          </cell>
          <cell r="CQ96">
            <v>0</v>
          </cell>
        </row>
        <row r="99">
          <cell r="CM99">
            <v>0</v>
          </cell>
          <cell r="CN99">
            <v>0</v>
          </cell>
          <cell r="CO99">
            <v>0</v>
          </cell>
          <cell r="CQ99">
            <v>0</v>
          </cell>
        </row>
        <row r="102">
          <cell r="CM102">
            <v>0</v>
          </cell>
          <cell r="CN102">
            <v>0</v>
          </cell>
          <cell r="CO102">
            <v>0</v>
          </cell>
          <cell r="CQ102">
            <v>0</v>
          </cell>
        </row>
        <row r="105">
          <cell r="AD105">
            <v>61472.7</v>
          </cell>
        </row>
        <row r="121">
          <cell r="G121">
            <v>1801.7697212209027</v>
          </cell>
          <cell r="H121">
            <v>3337.476380353382</v>
          </cell>
          <cell r="I121">
            <v>2333817.4775999994</v>
          </cell>
          <cell r="J121">
            <v>1593949.6473740595</v>
          </cell>
          <cell r="K121">
            <v>278.19</v>
          </cell>
          <cell r="AB121">
            <v>417.57339713675412</v>
          </cell>
          <cell r="AC121">
            <v>1783.6520325535055</v>
          </cell>
          <cell r="AD121">
            <v>2919409.2334690797</v>
          </cell>
          <cell r="AF121">
            <v>23786.158082000002</v>
          </cell>
          <cell r="CM121">
            <v>22.150912790271136</v>
          </cell>
          <cell r="CN121">
            <v>1134.3285046747169</v>
          </cell>
          <cell r="CO121">
            <v>101215.40672319999</v>
          </cell>
          <cell r="CQ121">
            <v>31.15728</v>
          </cell>
        </row>
        <row r="136">
          <cell r="G136">
            <v>134.4</v>
          </cell>
          <cell r="I136">
            <v>5612.3253624999998</v>
          </cell>
          <cell r="K136">
            <v>404.16575000000006</v>
          </cell>
          <cell r="AB136">
            <v>185.88031999999998</v>
          </cell>
          <cell r="AC136">
            <v>264</v>
          </cell>
          <cell r="AD136">
            <v>4421.3899205774997</v>
          </cell>
          <cell r="AE136">
            <v>2668.5845053116682</v>
          </cell>
          <cell r="AF136">
            <v>318.40177785000003</v>
          </cell>
          <cell r="CM136">
            <v>35.052800000000005</v>
          </cell>
          <cell r="CN136">
            <v>200</v>
          </cell>
          <cell r="CO136">
            <v>628.58044059999997</v>
          </cell>
          <cell r="CQ136">
            <v>45.26656400000001</v>
          </cell>
        </row>
        <row r="156">
          <cell r="G156">
            <v>2745</v>
          </cell>
          <cell r="H156">
            <v>984</v>
          </cell>
          <cell r="I156">
            <v>246100.24</v>
          </cell>
          <cell r="AB156">
            <v>16536</v>
          </cell>
          <cell r="AC156">
            <v>4907</v>
          </cell>
          <cell r="AD156">
            <v>791491.245</v>
          </cell>
          <cell r="AF156">
            <v>50266.67</v>
          </cell>
          <cell r="CM156">
            <v>0</v>
          </cell>
          <cell r="CN156">
            <v>0</v>
          </cell>
          <cell r="CO156">
            <v>0</v>
          </cell>
          <cell r="CQ156">
            <v>0</v>
          </cell>
        </row>
        <row r="166">
          <cell r="G166">
            <v>10924</v>
          </cell>
          <cell r="H166">
            <v>4900.7333333333336</v>
          </cell>
          <cell r="I166">
            <v>460368</v>
          </cell>
          <cell r="AB166">
            <v>4470</v>
          </cell>
          <cell r="AC166">
            <v>2282.625</v>
          </cell>
          <cell r="AD166">
            <v>189300</v>
          </cell>
          <cell r="CM166">
            <v>0</v>
          </cell>
          <cell r="CN166">
            <v>0</v>
          </cell>
          <cell r="CO166">
            <v>0</v>
          </cell>
          <cell r="CQ166">
            <v>0</v>
          </cell>
        </row>
        <row r="192">
          <cell r="G192">
            <v>3101.9750000000004</v>
          </cell>
          <cell r="H192">
            <v>1457.1875</v>
          </cell>
          <cell r="I192">
            <v>142283.97415000002</v>
          </cell>
          <cell r="K192">
            <v>10882.376</v>
          </cell>
          <cell r="AB192">
            <v>7034.3554549999999</v>
          </cell>
          <cell r="AC192">
            <v>1025.11375</v>
          </cell>
          <cell r="AD192">
            <v>309755.21009937004</v>
          </cell>
          <cell r="AF192">
            <v>8573.1358127999993</v>
          </cell>
          <cell r="CM192">
            <v>12520.678311111111</v>
          </cell>
          <cell r="CN192">
            <v>2220.8000000000002</v>
          </cell>
          <cell r="CO192">
            <v>630058.65644480032</v>
          </cell>
          <cell r="CQ192">
            <v>1119.8461120000002</v>
          </cell>
        </row>
        <row r="195">
          <cell r="CM195">
            <v>0</v>
          </cell>
          <cell r="CN195">
            <v>0</v>
          </cell>
          <cell r="CO195">
            <v>0</v>
          </cell>
          <cell r="CQ195">
            <v>0</v>
          </cell>
        </row>
        <row r="198">
          <cell r="G198">
            <v>1.4998844062971375</v>
          </cell>
          <cell r="H198">
            <v>24.998073438285626</v>
          </cell>
        </row>
        <row r="207">
          <cell r="CM207">
            <v>0</v>
          </cell>
          <cell r="CN207">
            <v>0</v>
          </cell>
          <cell r="CO207">
            <v>0</v>
          </cell>
          <cell r="CQ207">
            <v>0</v>
          </cell>
        </row>
        <row r="223">
          <cell r="G223">
            <v>58616.513333333329</v>
          </cell>
          <cell r="H223">
            <v>479</v>
          </cell>
          <cell r="I223">
            <v>8693133.3383333329</v>
          </cell>
          <cell r="K223">
            <v>286342.55</v>
          </cell>
          <cell r="AB223">
            <v>45706.82</v>
          </cell>
          <cell r="AD223">
            <v>8003473.4899999993</v>
          </cell>
          <cell r="CM223">
            <v>0</v>
          </cell>
          <cell r="CN223">
            <v>0</v>
          </cell>
          <cell r="CO223">
            <v>38314.44</v>
          </cell>
          <cell r="CQ223">
            <v>0</v>
          </cell>
        </row>
        <row r="233">
          <cell r="G233">
            <v>66560</v>
          </cell>
          <cell r="I233">
            <v>1436074.3499999999</v>
          </cell>
          <cell r="AB233">
            <v>70720</v>
          </cell>
          <cell r="AD233">
            <v>1592450.04</v>
          </cell>
          <cell r="CM233">
            <v>0</v>
          </cell>
          <cell r="CN233">
            <v>0</v>
          </cell>
          <cell r="CO233">
            <v>0</v>
          </cell>
          <cell r="CQ233">
            <v>0</v>
          </cell>
        </row>
        <row r="236">
          <cell r="CM236">
            <v>0</v>
          </cell>
          <cell r="CN236">
            <v>0</v>
          </cell>
          <cell r="CO236">
            <v>0</v>
          </cell>
          <cell r="CQ236">
            <v>0</v>
          </cell>
        </row>
        <row r="247">
          <cell r="I247">
            <v>4252790.2767093098</v>
          </cell>
          <cell r="AD247">
            <v>8724900.3682906907</v>
          </cell>
          <cell r="CM247">
            <v>0</v>
          </cell>
          <cell r="CN247">
            <v>0</v>
          </cell>
          <cell r="CO247">
            <v>206795</v>
          </cell>
          <cell r="CQ247">
            <v>0</v>
          </cell>
        </row>
        <row r="265">
          <cell r="G265">
            <v>15095.68</v>
          </cell>
          <cell r="I265">
            <v>943461.65</v>
          </cell>
          <cell r="K265">
            <v>80730.52</v>
          </cell>
          <cell r="AB265">
            <v>14358</v>
          </cell>
          <cell r="AD265">
            <v>882478.17999999993</v>
          </cell>
          <cell r="AF265">
            <v>156083.93</v>
          </cell>
          <cell r="CM265">
            <v>1056</v>
          </cell>
          <cell r="CN265">
            <v>672</v>
          </cell>
          <cell r="CO265">
            <v>34499.33</v>
          </cell>
          <cell r="CQ265">
            <v>0</v>
          </cell>
        </row>
        <row r="274">
          <cell r="I274">
            <v>31918.860000000008</v>
          </cell>
          <cell r="AD274">
            <v>31918.860000000008</v>
          </cell>
          <cell r="CM274">
            <v>0</v>
          </cell>
          <cell r="CN274">
            <v>0</v>
          </cell>
          <cell r="CO274">
            <v>0</v>
          </cell>
          <cell r="CQ274">
            <v>0</v>
          </cell>
        </row>
        <row r="296">
          <cell r="G296">
            <v>127.9901360040224</v>
          </cell>
          <cell r="I296">
            <v>510242.33999999997</v>
          </cell>
          <cell r="AD296">
            <v>634529.59025999997</v>
          </cell>
          <cell r="CM296">
            <v>0</v>
          </cell>
          <cell r="CN296">
            <v>0</v>
          </cell>
          <cell r="CO296">
            <v>51637.2304</v>
          </cell>
          <cell r="CQ296">
            <v>0</v>
          </cell>
        </row>
        <row r="311">
          <cell r="G311">
            <v>77.746589985765553</v>
          </cell>
          <cell r="AB311">
            <v>49.032144993450636</v>
          </cell>
          <cell r="AC311">
            <v>40</v>
          </cell>
          <cell r="AD311">
            <v>60858.200000000004</v>
          </cell>
        </row>
        <row r="336">
          <cell r="I336">
            <v>26923.090726580664</v>
          </cell>
          <cell r="AD336">
            <v>21316.169580760645</v>
          </cell>
          <cell r="CM336">
            <v>0</v>
          </cell>
          <cell r="CN336">
            <v>0</v>
          </cell>
          <cell r="CO336">
            <v>2937.4415010719736</v>
          </cell>
          <cell r="CQ336">
            <v>0</v>
          </cell>
        </row>
        <row r="344">
          <cell r="G344">
            <v>7.9994327135615704</v>
          </cell>
          <cell r="CM344">
            <v>0</v>
          </cell>
          <cell r="CN344">
            <v>0</v>
          </cell>
          <cell r="CO344">
            <v>0</v>
          </cell>
          <cell r="CQ344">
            <v>0</v>
          </cell>
        </row>
        <row r="354">
          <cell r="G354">
            <v>3939.6</v>
          </cell>
          <cell r="H354">
            <v>72</v>
          </cell>
          <cell r="I354">
            <v>173704.8</v>
          </cell>
          <cell r="AB354">
            <v>383.6</v>
          </cell>
          <cell r="AD354">
            <v>17968.8</v>
          </cell>
          <cell r="CM354">
            <v>309.60000000000002</v>
          </cell>
          <cell r="CN354">
            <v>0</v>
          </cell>
          <cell r="CO354">
            <v>13972.8</v>
          </cell>
          <cell r="CQ354">
            <v>0</v>
          </cell>
        </row>
        <row r="362">
          <cell r="CM362">
            <v>0</v>
          </cell>
          <cell r="CN362">
            <v>0</v>
          </cell>
          <cell r="CO362">
            <v>0</v>
          </cell>
          <cell r="CQ362">
            <v>0</v>
          </cell>
        </row>
        <row r="370">
          <cell r="G370">
            <v>87.243276299616838</v>
          </cell>
          <cell r="CM370">
            <v>0</v>
          </cell>
          <cell r="CN370">
            <v>0</v>
          </cell>
          <cell r="CO370">
            <v>0</v>
          </cell>
          <cell r="CQ370">
            <v>0</v>
          </cell>
        </row>
        <row r="379">
          <cell r="G379">
            <v>1033.0970342396622</v>
          </cell>
          <cell r="I379">
            <v>57370.403200000001</v>
          </cell>
          <cell r="AB379">
            <v>678.18550799999991</v>
          </cell>
          <cell r="AD379">
            <v>45196.403640959994</v>
          </cell>
          <cell r="CM379">
            <v>96.416319999999999</v>
          </cell>
          <cell r="CN379">
            <v>0</v>
          </cell>
          <cell r="CO379">
            <v>6425.4851583999998</v>
          </cell>
          <cell r="CQ379">
            <v>0</v>
          </cell>
        </row>
        <row r="391">
          <cell r="G391">
            <v>204.99884406297139</v>
          </cell>
          <cell r="I391">
            <v>568681.01</v>
          </cell>
          <cell r="AB391">
            <v>161.55730338761038</v>
          </cell>
          <cell r="AD391">
            <v>448006.89967799996</v>
          </cell>
          <cell r="CM391">
            <v>22.960024698599518</v>
          </cell>
          <cell r="CN391">
            <v>0</v>
          </cell>
          <cell r="CO391">
            <v>63692.273119999998</v>
          </cell>
          <cell r="CQ391">
            <v>0</v>
          </cell>
        </row>
        <row r="399">
          <cell r="G399">
            <v>319.99999999999972</v>
          </cell>
          <cell r="H399">
            <v>2560</v>
          </cell>
          <cell r="I399">
            <v>13439.999999999987</v>
          </cell>
          <cell r="AB399">
            <v>570</v>
          </cell>
          <cell r="AC399">
            <v>142.5</v>
          </cell>
          <cell r="AD399">
            <v>23940</v>
          </cell>
          <cell r="CM399">
            <v>0</v>
          </cell>
          <cell r="CN399">
            <v>0</v>
          </cell>
          <cell r="CO399">
            <v>0</v>
          </cell>
          <cell r="CQ399">
            <v>0</v>
          </cell>
        </row>
        <row r="425">
          <cell r="G425">
            <v>3994.8587284692685</v>
          </cell>
          <cell r="I425">
            <v>266159.31385000004</v>
          </cell>
          <cell r="AB425">
            <v>4079.6104829999995</v>
          </cell>
          <cell r="AD425">
            <v>209839.53209902998</v>
          </cell>
          <cell r="CM425">
            <v>579.99032</v>
          </cell>
          <cell r="CN425">
            <v>0</v>
          </cell>
          <cell r="CO425">
            <v>30365.925071199999</v>
          </cell>
          <cell r="CQ425">
            <v>0</v>
          </cell>
        </row>
        <row r="434">
          <cell r="CM434">
            <v>0</v>
          </cell>
          <cell r="CN434">
            <v>0</v>
          </cell>
          <cell r="CO434">
            <v>0</v>
          </cell>
          <cell r="CQ434">
            <v>0</v>
          </cell>
        </row>
        <row r="442">
          <cell r="G442">
            <v>2329</v>
          </cell>
          <cell r="I442">
            <v>112505.80600000001</v>
          </cell>
          <cell r="AB442">
            <v>1834.7862</v>
          </cell>
          <cell r="AD442">
            <v>88632.073966800002</v>
          </cell>
          <cell r="CM442">
            <v>260.84800000000001</v>
          </cell>
          <cell r="CN442">
            <v>0</v>
          </cell>
          <cell r="CO442">
            <v>12600.650272000001</v>
          </cell>
          <cell r="CQ442">
            <v>0</v>
          </cell>
        </row>
        <row r="458">
          <cell r="AG458">
            <v>6640536.8860000018</v>
          </cell>
          <cell r="CR458">
            <v>252630.39999999999</v>
          </cell>
        </row>
        <row r="462">
          <cell r="L462">
            <v>2979569.0599999996</v>
          </cell>
        </row>
        <row r="467">
          <cell r="L467">
            <v>0.70163171195999841</v>
          </cell>
          <cell r="AG467">
            <v>0.60356235329796726</v>
          </cell>
          <cell r="CR467">
            <v>0.92120135096926514</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s BS"/>
      <sheetName val="Liabilities &amp; Net Assets BS"/>
      <sheetName val="Statement of Operations"/>
      <sheetName val="Statement of Changes in NA's"/>
      <sheetName val="Statement of Cash Flows-Part I"/>
      <sheetName val="Statement of Cash Flows-Part II"/>
      <sheetName val="Consolidating BS"/>
      <sheetName val="Consolidating P&amp;L"/>
      <sheetName val="Consolidating SCNA"/>
      <sheetName val="Foundation BS Consolidation"/>
      <sheetName val="Foundation P&amp;L Consolidation"/>
      <sheetName val="SGMC Foundation BS"/>
      <sheetName val="SGMC Foundation SCNA"/>
      <sheetName val="WAH Foundation BS"/>
      <sheetName val="WAH Foundation SCNA"/>
      <sheetName val="BHWS Foundation BS"/>
      <sheetName val="BHWS Foundation SCNA"/>
      <sheetName val="Topside Entries"/>
      <sheetName val="Adjustments Booked to the GL"/>
      <sheetName val="Tab A - Cash Flow Worksheet"/>
      <sheetName val="Tab B - Non Cash Items"/>
      <sheetName val="Tab C-Real &amp; Unreal G&amp;L's"/>
      <sheetName val="Tab D - PIG Rollforward"/>
      <sheetName val="Tab E - Fixed Asset Rollforward"/>
      <sheetName val="Tab F - Inv in Sub Rollforward"/>
      <sheetName val="Tab G-Land Held for HC Dvlpt"/>
      <sheetName val="Tab H - Def Financing Roll"/>
      <sheetName val="Tab I-Rollforward of Intangible"/>
      <sheetName val="Tab J - Debt Rollforward"/>
      <sheetName val="Tab K-Restricted Contributions"/>
      <sheetName val="Tab L - Interest Paid"/>
      <sheetName val="Tab M - Eastern Shore DCOPs"/>
      <sheetName val="Original 2015 AFS P&amp;L"/>
    </sheetNames>
    <sheetDataSet>
      <sheetData sheetId="0"/>
      <sheetData sheetId="1"/>
      <sheetData sheetId="2"/>
      <sheetData sheetId="3"/>
      <sheetData sheetId="4"/>
      <sheetData sheetId="5"/>
      <sheetData sheetId="6"/>
      <sheetData sheetId="7">
        <row r="68">
          <cell r="F68">
            <v>10248392</v>
          </cell>
          <cell r="M68">
            <v>362415060</v>
          </cell>
          <cell r="U68">
            <v>249146787</v>
          </cell>
          <cell r="AN68">
            <v>47495719</v>
          </cell>
        </row>
        <row r="116">
          <cell r="F116">
            <v>298314</v>
          </cell>
          <cell r="M116">
            <v>7490548</v>
          </cell>
          <cell r="U116">
            <v>3755767</v>
          </cell>
          <cell r="AN116">
            <v>3070951</v>
          </cell>
        </row>
        <row r="471">
          <cell r="F471">
            <v>11025429</v>
          </cell>
          <cell r="M471">
            <v>349840576</v>
          </cell>
          <cell r="U471">
            <v>244876900</v>
          </cell>
          <cell r="AN471">
            <v>46858266</v>
          </cell>
        </row>
        <row r="491">
          <cell r="F491">
            <v>-33748</v>
          </cell>
          <cell r="M491">
            <v>3542468</v>
          </cell>
          <cell r="U491">
            <v>-2205496</v>
          </cell>
          <cell r="AN491">
            <v>333411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ownload"/>
    </sheetNames>
    <sheetDataSet>
      <sheetData sheetId="0"/>
      <sheetData sheetId="1">
        <row r="5">
          <cell r="B5">
            <v>2425.5</v>
          </cell>
          <cell r="D5">
            <v>3484</v>
          </cell>
          <cell r="E5">
            <v>189880</v>
          </cell>
          <cell r="F5">
            <v>6028</v>
          </cell>
          <cell r="G5">
            <v>0</v>
          </cell>
          <cell r="H5">
            <v>195908</v>
          </cell>
        </row>
        <row r="6">
          <cell r="B6">
            <v>0</v>
          </cell>
          <cell r="C6">
            <v>0</v>
          </cell>
          <cell r="E6">
            <v>0</v>
          </cell>
          <cell r="F6">
            <v>0</v>
          </cell>
          <cell r="G6">
            <v>0</v>
          </cell>
          <cell r="H6">
            <v>0</v>
          </cell>
        </row>
        <row r="7">
          <cell r="B7">
            <v>1524</v>
          </cell>
          <cell r="D7">
            <v>1209</v>
          </cell>
          <cell r="E7">
            <v>399718</v>
          </cell>
          <cell r="F7">
            <v>238009</v>
          </cell>
          <cell r="G7">
            <v>398675</v>
          </cell>
          <cell r="H7">
            <v>239052</v>
          </cell>
        </row>
        <row r="8">
          <cell r="B8">
            <v>0</v>
          </cell>
          <cell r="E8">
            <v>0</v>
          </cell>
          <cell r="F8">
            <v>0</v>
          </cell>
          <cell r="G8">
            <v>0</v>
          </cell>
          <cell r="H8">
            <v>0</v>
          </cell>
        </row>
        <row r="9">
          <cell r="B9">
            <v>1484</v>
          </cell>
          <cell r="C9">
            <v>0</v>
          </cell>
          <cell r="E9">
            <v>80327</v>
          </cell>
          <cell r="F9">
            <v>0</v>
          </cell>
          <cell r="G9">
            <v>0</v>
          </cell>
          <cell r="H9">
            <v>80327</v>
          </cell>
        </row>
        <row r="10">
          <cell r="B10">
            <v>4399</v>
          </cell>
          <cell r="C10">
            <v>48871</v>
          </cell>
          <cell r="E10">
            <v>423046</v>
          </cell>
          <cell r="F10">
            <v>105976</v>
          </cell>
          <cell r="G10">
            <v>0</v>
          </cell>
          <cell r="H10">
            <v>529022</v>
          </cell>
        </row>
        <row r="11">
          <cell r="B11">
            <v>0</v>
          </cell>
          <cell r="C11">
            <v>6</v>
          </cell>
          <cell r="E11">
            <v>124902</v>
          </cell>
          <cell r="F11">
            <v>74145</v>
          </cell>
          <cell r="G11">
            <v>0</v>
          </cell>
          <cell r="H11">
            <v>199047</v>
          </cell>
        </row>
        <row r="14">
          <cell r="B14">
            <v>217289</v>
          </cell>
          <cell r="D14">
            <v>500</v>
          </cell>
          <cell r="E14">
            <v>13698754</v>
          </cell>
          <cell r="F14">
            <v>8152030</v>
          </cell>
          <cell r="G14">
            <v>0</v>
          </cell>
          <cell r="H14">
            <v>21850784</v>
          </cell>
        </row>
        <row r="15">
          <cell r="B15">
            <v>0</v>
          </cell>
          <cell r="D15">
            <v>0</v>
          </cell>
          <cell r="E15">
            <v>772468</v>
          </cell>
          <cell r="F15">
            <v>0</v>
          </cell>
          <cell r="G15">
            <v>153158</v>
          </cell>
          <cell r="H15">
            <v>619310</v>
          </cell>
        </row>
        <row r="16">
          <cell r="B16">
            <v>52</v>
          </cell>
          <cell r="C16">
            <v>0</v>
          </cell>
          <cell r="E16">
            <v>3431</v>
          </cell>
          <cell r="F16">
            <v>2048</v>
          </cell>
          <cell r="G16">
            <v>0</v>
          </cell>
          <cell r="H16">
            <v>5479</v>
          </cell>
        </row>
        <row r="19">
          <cell r="B19">
            <v>0</v>
          </cell>
          <cell r="C19">
            <v>0</v>
          </cell>
          <cell r="E19">
            <v>6198294</v>
          </cell>
          <cell r="F19">
            <v>0</v>
          </cell>
          <cell r="G19">
            <v>2961628</v>
          </cell>
          <cell r="H19">
            <v>3236666</v>
          </cell>
        </row>
        <row r="20">
          <cell r="B20">
            <v>0</v>
          </cell>
          <cell r="C20">
            <v>0</v>
          </cell>
          <cell r="E20">
            <v>103820</v>
          </cell>
          <cell r="F20">
            <v>0</v>
          </cell>
          <cell r="G20">
            <v>1817</v>
          </cell>
          <cell r="H20">
            <v>102003</v>
          </cell>
        </row>
        <row r="21">
          <cell r="B21">
            <v>0</v>
          </cell>
          <cell r="C21">
            <v>0</v>
          </cell>
          <cell r="E21">
            <v>674200</v>
          </cell>
          <cell r="F21">
            <v>15802</v>
          </cell>
          <cell r="G21">
            <v>6816</v>
          </cell>
          <cell r="H21">
            <v>683186</v>
          </cell>
        </row>
        <row r="24">
          <cell r="B24">
            <v>0</v>
          </cell>
          <cell r="C24">
            <v>0</v>
          </cell>
          <cell r="E24">
            <v>1182270</v>
          </cell>
          <cell r="F24">
            <v>0</v>
          </cell>
          <cell r="G24">
            <v>36762</v>
          </cell>
          <cell r="H24">
            <v>1145508</v>
          </cell>
        </row>
        <row r="25">
          <cell r="B25">
            <v>0</v>
          </cell>
          <cell r="C25">
            <v>0</v>
          </cell>
          <cell r="E25">
            <v>0</v>
          </cell>
          <cell r="F25">
            <v>0</v>
          </cell>
          <cell r="G25">
            <v>0</v>
          </cell>
          <cell r="H25">
            <v>0</v>
          </cell>
        </row>
        <row r="28">
          <cell r="B28">
            <v>0</v>
          </cell>
          <cell r="C28">
            <v>0</v>
          </cell>
          <cell r="E28">
            <v>74418</v>
          </cell>
          <cell r="F28">
            <v>0</v>
          </cell>
          <cell r="G28">
            <v>0</v>
          </cell>
          <cell r="H28">
            <v>74418</v>
          </cell>
        </row>
        <row r="29">
          <cell r="B29">
            <v>12</v>
          </cell>
          <cell r="C29">
            <v>0</v>
          </cell>
          <cell r="E29">
            <v>12570</v>
          </cell>
          <cell r="F29">
            <v>6313</v>
          </cell>
          <cell r="G29">
            <v>0</v>
          </cell>
          <cell r="H29">
            <v>18883</v>
          </cell>
        </row>
        <row r="32">
          <cell r="B32">
            <v>60</v>
          </cell>
          <cell r="C32">
            <v>0</v>
          </cell>
          <cell r="E32">
            <v>117147</v>
          </cell>
          <cell r="F32">
            <v>67742</v>
          </cell>
          <cell r="G32">
            <v>0</v>
          </cell>
          <cell r="H32">
            <v>184889</v>
          </cell>
        </row>
        <row r="33">
          <cell r="B33">
            <v>0</v>
          </cell>
          <cell r="C33">
            <v>0</v>
          </cell>
          <cell r="E33">
            <v>26386</v>
          </cell>
          <cell r="F33">
            <v>0</v>
          </cell>
          <cell r="G33">
            <v>0</v>
          </cell>
          <cell r="H33">
            <v>26386</v>
          </cell>
        </row>
        <row r="34">
          <cell r="B34">
            <v>2</v>
          </cell>
          <cell r="C34">
            <v>7</v>
          </cell>
          <cell r="E34">
            <v>3822</v>
          </cell>
          <cell r="F34">
            <v>190</v>
          </cell>
          <cell r="G34">
            <v>0</v>
          </cell>
          <cell r="H34">
            <v>4012</v>
          </cell>
        </row>
        <row r="37">
          <cell r="B37">
            <v>664</v>
          </cell>
          <cell r="C37">
            <v>0</v>
          </cell>
          <cell r="E37">
            <v>119661</v>
          </cell>
          <cell r="F37">
            <v>26370</v>
          </cell>
          <cell r="G37">
            <v>0</v>
          </cell>
          <cell r="H37">
            <v>146031</v>
          </cell>
        </row>
        <row r="39">
          <cell r="B39">
            <v>227911.5</v>
          </cell>
          <cell r="D39">
            <v>54077</v>
          </cell>
          <cell r="E39">
            <v>24205114</v>
          </cell>
          <cell r="F39">
            <v>8694653</v>
          </cell>
          <cell r="G39">
            <v>3558856</v>
          </cell>
          <cell r="H39">
            <v>29340911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H 2017 (2)"/>
      <sheetName val="DGH CBR FY2017 (2)"/>
      <sheetName val="DGH 2018"/>
      <sheetName val="2017 CBR Initiatives (3)"/>
      <sheetName val="DGH CBR FY2018"/>
      <sheetName val="2018 CBR Initiatives"/>
      <sheetName val="Phy Svcs C"/>
      <sheetName val="PHY SUB"/>
      <sheetName val="AF FIN DATA 2018"/>
      <sheetName val="MHE CBR FY2018"/>
      <sheetName val="MHE CBR FY2017 (2)"/>
      <sheetName val="MHE 2017 (2)"/>
      <sheetName val="EST UMMS FSS FIN DATA 2017 (2)"/>
      <sheetName val="MHE 2018"/>
      <sheetName val="2017 CBR Initiatives (2)"/>
      <sheetName val="2014 CBR Initiatives (2)"/>
      <sheetName val="2015 CBR Iniatives"/>
      <sheetName val="2016 CBR Activities"/>
      <sheetName val="EST UMMS FSS FIN DATA 2016 (2)"/>
      <sheetName val="SHS MHE DGH Com Ben Rpt 2013 cc"/>
      <sheetName val="Activities Comm Ben 2012"/>
      <sheetName val="SHS MHE DGH 2012"/>
    </sheetNames>
    <sheetDataSet>
      <sheetData sheetId="0"/>
      <sheetData sheetId="1"/>
      <sheetData sheetId="2">
        <row r="18">
          <cell r="D18">
            <v>283.60465625000001</v>
          </cell>
        </row>
      </sheetData>
      <sheetData sheetId="3"/>
      <sheetData sheetId="4"/>
      <sheetData sheetId="5">
        <row r="12">
          <cell r="E12">
            <v>840</v>
          </cell>
        </row>
      </sheetData>
      <sheetData sheetId="6"/>
      <sheetData sheetId="7">
        <row r="8">
          <cell r="N8">
            <v>287612</v>
          </cell>
        </row>
      </sheetData>
      <sheetData sheetId="8">
        <row r="8">
          <cell r="S8">
            <v>44129.413</v>
          </cell>
        </row>
      </sheetData>
      <sheetData sheetId="9"/>
      <sheetData sheetId="10"/>
      <sheetData sheetId="11"/>
      <sheetData sheetId="12"/>
      <sheetData sheetId="13">
        <row r="21">
          <cell r="D21">
            <v>1142.6041092709388</v>
          </cell>
        </row>
      </sheetData>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HospP&amp;L"/>
    </sheetNames>
    <sheetDataSet>
      <sheetData sheetId="0"/>
      <sheetData sheetId="1"/>
      <sheetData sheetId="2">
        <row r="19">
          <cell r="J19">
            <v>6845</v>
          </cell>
        </row>
        <row r="24">
          <cell r="J24">
            <v>367990</v>
          </cell>
        </row>
        <row r="29">
          <cell r="J29">
            <v>4980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8 (Clean)"/>
      <sheetName val="FY18"/>
      <sheetName val="FY17"/>
      <sheetName val="Sheet3"/>
      <sheetName val="Sheet1"/>
      <sheetName val="Support"/>
    </sheetNames>
    <sheetDataSet>
      <sheetData sheetId="0" refreshError="1"/>
      <sheetData sheetId="1" refreshError="1"/>
      <sheetData sheetId="2">
        <row r="53">
          <cell r="B53" t="str">
            <v>Adapted Golf Program</v>
          </cell>
        </row>
        <row r="54">
          <cell r="B54" t="str">
            <v>Adapted Sports Festival</v>
          </cell>
        </row>
        <row r="55">
          <cell r="B55" t="str">
            <v>Wheelchair Basketball Clinic</v>
          </cell>
        </row>
        <row r="56">
          <cell r="B56" t="str">
            <v>Wheelchair Rugby</v>
          </cell>
        </row>
        <row r="57">
          <cell r="B57" t="str">
            <v>Think First, Brain and Spinal Cord Injury Prevention</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
      <sheetName val="i10 Indirect Exp Calc"/>
      <sheetName val="A30 Healthcare Support"/>
      <sheetName val="Payor Mix 2018"/>
      <sheetName val="Payor Mix 2017"/>
      <sheetName val="B10 Med Students"/>
      <sheetName val="B20 Nurse Students"/>
      <sheetName val="Section C DHA_DO NOT USE"/>
      <sheetName val="PG UR6"/>
      <sheetName val="PG P1 Grid FY18"/>
      <sheetName val="LRH UR6"/>
      <sheetName val="DHA Revenue P&amp;L"/>
      <sheetName val="Section i P&a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4">
          <cell r="M54">
            <v>6629.0669763850165</v>
          </cell>
        </row>
        <row r="55">
          <cell r="L55">
            <v>686</v>
          </cell>
          <cell r="M55">
            <v>9016.934972909683</v>
          </cell>
        </row>
        <row r="57">
          <cell r="L57">
            <v>1543</v>
          </cell>
        </row>
        <row r="58">
          <cell r="L58">
            <v>289</v>
          </cell>
          <cell r="M58">
            <v>5272.0678852828823</v>
          </cell>
        </row>
        <row r="61">
          <cell r="L61">
            <v>1255</v>
          </cell>
        </row>
      </sheetData>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for committee"/>
      <sheetName val="HSCRC Table"/>
      <sheetName val="MMC Summary Levels"/>
      <sheetName val="FY 18 Summary Worksheet"/>
      <sheetName val="HSCRC Input"/>
      <sheetName val="# of employees"/>
      <sheetName val="Submission Summary"/>
      <sheetName val="Social Work"/>
      <sheetName val="Translation Services"/>
      <sheetName val="Mercy Cares"/>
      <sheetName val="Stroke Screenings"/>
      <sheetName val="Family Violence Program"/>
      <sheetName val="SBIRT"/>
      <sheetName val="Community Benefit Dpt"/>
      <sheetName val="U of Md Residents"/>
      <sheetName val="Teaching Alloc"/>
      <sheetName val="Mercy Volunteer Corp"/>
      <sheetName val="Pastoral Care"/>
      <sheetName val="Health Fairs_Lab Svcs"/>
      <sheetName val="Breast CA Awareness "/>
      <sheetName val="Basilica Place"/>
      <sheetName val="Free Medication"/>
      <sheetName val="Charity Meds"/>
      <sheetName val="SBFHC"/>
      <sheetName val="Library Usage"/>
      <sheetName val="ED Loss"/>
      <sheetName val="PA_NA Loss"/>
      <sheetName val="Physician Charity Care"/>
      <sheetName val="OB Coverage"/>
      <sheetName val="HCH"/>
      <sheetName val="SAFE"/>
      <sheetName val="Psych On Call"/>
      <sheetName val="Detox"/>
      <sheetName val="Disease and Prevention"/>
      <sheetName val="Cancer Registry"/>
      <sheetName val="Taxes"/>
      <sheetName val="Space Usage "/>
      <sheetName val="Dental Clinic"/>
      <sheetName val="Mindfulness Program"/>
      <sheetName val="PCS_HR Community Services"/>
      <sheetName val="Charitable Donations"/>
      <sheetName val="Sheet1"/>
      <sheetName val="Blood Drives"/>
      <sheetName val="Adult Ed CCB _Education"/>
      <sheetName val="Youth Works"/>
      <sheetName val="Nursing Grants"/>
      <sheetName val="United Way"/>
      <sheetName val="Supportive Housing"/>
      <sheetName val="MA City of Balto"/>
      <sheetName val="Deficit Assessment"/>
      <sheetName val="Holiday Display"/>
      <sheetName val="MA Council"/>
      <sheetName val="Charity_UCC"/>
      <sheetName val="Board Svcs"/>
      <sheetName val="Board Info"/>
      <sheetName val="Dedicated Staff"/>
      <sheetName val="Parking Services"/>
      <sheetName val="Food Services Community Support"/>
      <sheetName val="Pharmacy Education"/>
      <sheetName val="M Works"/>
      <sheetName val="Foundation Est"/>
    </sheetNames>
    <sheetDataSet>
      <sheetData sheetId="0"/>
      <sheetData sheetId="1"/>
      <sheetData sheetId="2"/>
      <sheetData sheetId="3"/>
      <sheetData sheetId="4"/>
      <sheetData sheetId="5"/>
      <sheetData sheetId="6">
        <row r="88">
          <cell r="F88">
            <v>2489</v>
          </cell>
          <cell r="H88">
            <v>124927.37119999999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cbrik@holycrosshealth.or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jacobs@fmh.or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jdeibel@mdmercy.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tiebert@jhu.edu"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fmcgrath@umm.ed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jsessa@lifebridgehealth.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Kimberly_Thomas@bshsi.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JPourahm@adventisthealthcare.com"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soliverio@gcmh.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rebecca.righter@peninsula.org"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breilly@aahs.org"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Beth.e.Kelly@medstar.ne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aruble@wmhs.com"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mailto:Beth.E.Kelly@medstar.n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jkelly@uhcc.com"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sbrewer@CarrollHospitalCenter.org"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mailto:jermaine.page@umm.edu"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mailto:kfmcgrath@umm.edu"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mailto:cfleisch@umm.edu"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mailto:margaret.fowler@calverthealthmed.org"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jsessa@lifebridgehealth.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laurie.fetterman@umm.edu"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mchan@gbmc.org"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cspence@mccreadyhealth.org"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fmoll1@jhmi.edu"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cohler@uchs.org"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Mdudley@DCHweb.org"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mailto:cmoye@nexushealth.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mailto:mtodd@atlanticgeneral.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beth.e.kelly@medstar.net"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mailto:jsessa@lifebridgehealth.org"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mcbrik@holycrosshealth.org"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mailto:JPourahm@adventisthealthcare.com"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mailto:JPourahm@adventisthealthcare.com"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mailto:mmiddleton@sheppardpratt.org"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mailto:JPourahm@adventisthealthcare.com" TargetMode="External"/></Relationships>
</file>

<file path=xl/worksheets/_rels/sheet58.xml.rels><?xml version="1.0" encoding="UTF-8" standalone="yes"?>
<Relationships xmlns="http://schemas.openxmlformats.org/package/2006/relationships"><Relationship Id="rId1" Type="http://schemas.openxmlformats.org/officeDocument/2006/relationships/hyperlink" Target="mailto:Rachana.Patani@MWPH.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llen.twigg@meritushealth.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4"/>
  <sheetViews>
    <sheetView zoomScaleNormal="100" workbookViewId="0">
      <selection activeCell="K8" sqref="K8"/>
    </sheetView>
  </sheetViews>
  <sheetFormatPr defaultColWidth="9.28515625" defaultRowHeight="15" x14ac:dyDescent="0.25"/>
  <cols>
    <col min="1" max="1" width="18.7109375" style="292" customWidth="1"/>
    <col min="2" max="2" width="41.42578125" style="292" bestFit="1" customWidth="1"/>
    <col min="3" max="3" width="13.7109375" style="291" bestFit="1" customWidth="1"/>
    <col min="4" max="4" width="13.28515625" style="291" bestFit="1" customWidth="1"/>
    <col min="5" max="5" width="15.28515625" style="292" bestFit="1" customWidth="1"/>
    <col min="6" max="6" width="12.140625" style="292" bestFit="1" customWidth="1"/>
    <col min="7" max="8" width="9.28515625" style="292"/>
    <col min="9" max="9" width="10.28515625" style="292" bestFit="1" customWidth="1"/>
    <col min="10" max="13" width="9.28515625" style="292"/>
    <col min="14" max="14" width="10.28515625" style="292" bestFit="1" customWidth="1"/>
    <col min="15" max="15" width="15.28515625" style="292" bestFit="1" customWidth="1"/>
    <col min="16" max="16384" width="9.28515625" style="292"/>
  </cols>
  <sheetData>
    <row r="1" spans="1:7" x14ac:dyDescent="0.25">
      <c r="A1" s="222" t="s">
        <v>855</v>
      </c>
      <c r="B1" s="222"/>
    </row>
    <row r="2" spans="1:7" s="295" customFormat="1" ht="60" x14ac:dyDescent="0.25">
      <c r="A2" s="285" t="s">
        <v>601</v>
      </c>
      <c r="B2" s="285" t="s">
        <v>197</v>
      </c>
      <c r="C2" s="290" t="s">
        <v>602</v>
      </c>
      <c r="D2" s="290" t="s">
        <v>603</v>
      </c>
      <c r="E2" s="285" t="s">
        <v>604</v>
      </c>
      <c r="F2" s="293"/>
      <c r="G2" s="293"/>
    </row>
    <row r="3" spans="1:7" s="295" customFormat="1" x14ac:dyDescent="0.25">
      <c r="A3" s="296">
        <v>210001</v>
      </c>
      <c r="B3" s="296" t="s">
        <v>194</v>
      </c>
      <c r="C3" s="286">
        <v>0</v>
      </c>
      <c r="D3" s="286">
        <v>321748.76</v>
      </c>
      <c r="E3" s="297">
        <f>SUM(C3+D3)</f>
        <v>321748.76</v>
      </c>
      <c r="F3" s="294"/>
      <c r="G3" s="294"/>
    </row>
    <row r="4" spans="1:7" s="295" customFormat="1" x14ac:dyDescent="0.25">
      <c r="A4" s="298" t="s">
        <v>817</v>
      </c>
      <c r="B4" s="296" t="s">
        <v>818</v>
      </c>
      <c r="C4" s="286">
        <f>105607955.371316+11572869.0778789</f>
        <v>117180824.44919491</v>
      </c>
      <c r="D4" s="286">
        <f>1345458.4+202325.4</f>
        <v>1547783.7999999998</v>
      </c>
      <c r="E4" s="297">
        <f t="shared" ref="E4:E52" si="0">SUM(C4+D4)</f>
        <v>118728608.24919491</v>
      </c>
      <c r="F4" s="294"/>
      <c r="G4" s="294"/>
    </row>
    <row r="5" spans="1:7" s="295" customFormat="1" x14ac:dyDescent="0.25">
      <c r="A5" s="298" t="s">
        <v>819</v>
      </c>
      <c r="B5" s="296" t="s">
        <v>854</v>
      </c>
      <c r="C5" s="286">
        <v>5392003.5499999998</v>
      </c>
      <c r="D5" s="286">
        <f>285682.6+106117.5</f>
        <v>391800.1</v>
      </c>
      <c r="E5" s="297">
        <f t="shared" si="0"/>
        <v>5783803.6499999994</v>
      </c>
      <c r="F5" s="294"/>
      <c r="G5" s="294"/>
    </row>
    <row r="6" spans="1:7" s="295" customFormat="1" x14ac:dyDescent="0.25">
      <c r="A6" s="296">
        <v>210004</v>
      </c>
      <c r="B6" s="296" t="s">
        <v>528</v>
      </c>
      <c r="C6" s="286">
        <v>2663635.3437493006</v>
      </c>
      <c r="D6" s="286">
        <v>505712.4</v>
      </c>
      <c r="E6" s="297">
        <f t="shared" si="0"/>
        <v>3169347.7437493005</v>
      </c>
      <c r="F6" s="294"/>
      <c r="G6" s="294"/>
    </row>
    <row r="7" spans="1:7" s="295" customFormat="1" x14ac:dyDescent="0.25">
      <c r="A7" s="296">
        <v>210005</v>
      </c>
      <c r="B7" s="296" t="s">
        <v>820</v>
      </c>
      <c r="C7" s="286">
        <v>0</v>
      </c>
      <c r="D7" s="286">
        <v>363795.7</v>
      </c>
      <c r="E7" s="297">
        <f t="shared" si="0"/>
        <v>363795.7</v>
      </c>
      <c r="F7" s="294"/>
      <c r="G7" s="294"/>
    </row>
    <row r="8" spans="1:7" s="295" customFormat="1" x14ac:dyDescent="0.25">
      <c r="A8" s="296">
        <v>210006</v>
      </c>
      <c r="B8" s="296" t="s">
        <v>821</v>
      </c>
      <c r="C8" s="286">
        <v>0</v>
      </c>
      <c r="D8" s="286">
        <v>104106.1</v>
      </c>
      <c r="E8" s="297">
        <f t="shared" si="0"/>
        <v>104106.1</v>
      </c>
      <c r="F8" s="294"/>
      <c r="G8" s="294"/>
    </row>
    <row r="9" spans="1:7" s="295" customFormat="1" x14ac:dyDescent="0.25">
      <c r="A9" s="296">
        <v>210008</v>
      </c>
      <c r="B9" s="296" t="s">
        <v>822</v>
      </c>
      <c r="C9" s="286">
        <v>5047339.4304400003</v>
      </c>
      <c r="D9" s="286">
        <v>513599.60000000003</v>
      </c>
      <c r="E9" s="297">
        <f t="shared" si="0"/>
        <v>5560939.0304399999</v>
      </c>
      <c r="F9" s="294"/>
      <c r="G9" s="294"/>
    </row>
    <row r="10" spans="1:7" s="295" customFormat="1" x14ac:dyDescent="0.25">
      <c r="A10" s="296">
        <v>210009</v>
      </c>
      <c r="B10" s="296" t="s">
        <v>529</v>
      </c>
      <c r="C10" s="286">
        <v>115134967</v>
      </c>
      <c r="D10" s="286">
        <v>2282683.4</v>
      </c>
      <c r="E10" s="297">
        <f t="shared" si="0"/>
        <v>117417650.40000001</v>
      </c>
      <c r="F10" s="294"/>
      <c r="G10" s="294"/>
    </row>
    <row r="11" spans="1:7" s="295" customFormat="1" x14ac:dyDescent="0.25">
      <c r="A11" s="296">
        <v>210010</v>
      </c>
      <c r="B11" s="296" t="s">
        <v>823</v>
      </c>
      <c r="C11" s="286">
        <v>0</v>
      </c>
      <c r="D11" s="286">
        <v>51452.800000000003</v>
      </c>
      <c r="E11" s="297">
        <f t="shared" si="0"/>
        <v>51452.800000000003</v>
      </c>
      <c r="F11" s="294"/>
      <c r="G11" s="294"/>
    </row>
    <row r="12" spans="1:7" s="295" customFormat="1" x14ac:dyDescent="0.25">
      <c r="A12" s="296">
        <v>210011</v>
      </c>
      <c r="B12" s="296" t="s">
        <v>824</v>
      </c>
      <c r="C12" s="286">
        <v>8121089.5770394159</v>
      </c>
      <c r="D12" s="286">
        <v>432204.4</v>
      </c>
      <c r="E12" s="297">
        <f t="shared" si="0"/>
        <v>8553293.9770394154</v>
      </c>
      <c r="F12" s="294"/>
      <c r="G12" s="294"/>
    </row>
    <row r="13" spans="1:7" s="295" customFormat="1" x14ac:dyDescent="0.25">
      <c r="A13" s="296">
        <v>210012</v>
      </c>
      <c r="B13" s="296" t="s">
        <v>825</v>
      </c>
      <c r="C13" s="286">
        <v>15700811.407664713</v>
      </c>
      <c r="D13" s="286">
        <v>732671.6</v>
      </c>
      <c r="E13" s="297">
        <f t="shared" si="0"/>
        <v>16433483.007664712</v>
      </c>
      <c r="F13" s="294"/>
      <c r="G13" s="294"/>
    </row>
    <row r="14" spans="1:7" s="295" customFormat="1" x14ac:dyDescent="0.25">
      <c r="A14" s="296">
        <v>210013</v>
      </c>
      <c r="B14" s="296" t="s">
        <v>826</v>
      </c>
      <c r="C14" s="286">
        <v>0</v>
      </c>
      <c r="D14" s="286">
        <v>106732.3</v>
      </c>
      <c r="E14" s="297">
        <f t="shared" si="0"/>
        <v>106732.3</v>
      </c>
      <c r="F14" s="294"/>
      <c r="G14" s="294"/>
    </row>
    <row r="15" spans="1:7" s="295" customFormat="1" x14ac:dyDescent="0.25">
      <c r="A15" s="296">
        <v>210015</v>
      </c>
      <c r="B15" s="296" t="s">
        <v>827</v>
      </c>
      <c r="C15" s="286">
        <v>8972941.7117724195</v>
      </c>
      <c r="D15" s="286">
        <v>505736.10000000003</v>
      </c>
      <c r="E15" s="297">
        <f t="shared" si="0"/>
        <v>9478677.8117724191</v>
      </c>
      <c r="F15" s="294"/>
      <c r="G15" s="294"/>
    </row>
    <row r="16" spans="1:7" s="295" customFormat="1" x14ac:dyDescent="0.25">
      <c r="A16" s="296">
        <v>210016</v>
      </c>
      <c r="B16" s="296" t="s">
        <v>828</v>
      </c>
      <c r="C16" s="286">
        <v>0</v>
      </c>
      <c r="D16" s="286">
        <v>263177.90000000002</v>
      </c>
      <c r="E16" s="297">
        <f t="shared" si="0"/>
        <v>263177.90000000002</v>
      </c>
      <c r="F16" s="294"/>
      <c r="G16" s="294"/>
    </row>
    <row r="17" spans="1:7" s="295" customFormat="1" x14ac:dyDescent="0.25">
      <c r="A17" s="296">
        <v>210017</v>
      </c>
      <c r="B17" s="296" t="s">
        <v>829</v>
      </c>
      <c r="C17" s="286">
        <v>0</v>
      </c>
      <c r="D17" s="286">
        <v>48479.700000000004</v>
      </c>
      <c r="E17" s="297">
        <f t="shared" si="0"/>
        <v>48479.700000000004</v>
      </c>
      <c r="F17" s="294"/>
      <c r="G17" s="294"/>
    </row>
    <row r="18" spans="1:7" s="295" customFormat="1" x14ac:dyDescent="0.25">
      <c r="A18" s="296">
        <v>210018</v>
      </c>
      <c r="B18" s="296" t="s">
        <v>830</v>
      </c>
      <c r="C18" s="286">
        <v>-4.0841624455717996E-3</v>
      </c>
      <c r="D18" s="286">
        <v>175827.97700000001</v>
      </c>
      <c r="E18" s="297">
        <f t="shared" si="0"/>
        <v>175827.97291583757</v>
      </c>
      <c r="F18" s="294"/>
      <c r="G18" s="294"/>
    </row>
    <row r="19" spans="1:7" s="295" customFormat="1" x14ac:dyDescent="0.25">
      <c r="A19" s="296">
        <v>210019</v>
      </c>
      <c r="B19" s="296" t="s">
        <v>450</v>
      </c>
      <c r="C19" s="286">
        <v>0</v>
      </c>
      <c r="D19" s="286">
        <v>430070.8</v>
      </c>
      <c r="E19" s="297">
        <f t="shared" si="0"/>
        <v>430070.8</v>
      </c>
      <c r="F19" s="294"/>
      <c r="G19" s="294"/>
    </row>
    <row r="20" spans="1:7" s="295" customFormat="1" x14ac:dyDescent="0.25">
      <c r="A20" s="296">
        <v>210022</v>
      </c>
      <c r="B20" s="296" t="s">
        <v>831</v>
      </c>
      <c r="C20" s="286">
        <v>498335.62116857147</v>
      </c>
      <c r="D20" s="286">
        <v>301899.2</v>
      </c>
      <c r="E20" s="297">
        <f t="shared" si="0"/>
        <v>800234.82116857148</v>
      </c>
      <c r="F20" s="294"/>
      <c r="G20" s="294"/>
    </row>
    <row r="21" spans="1:7" s="295" customFormat="1" x14ac:dyDescent="0.25">
      <c r="A21" s="296">
        <v>210023</v>
      </c>
      <c r="B21" s="296" t="s">
        <v>832</v>
      </c>
      <c r="C21" s="286">
        <v>581745.88224000006</v>
      </c>
      <c r="D21" s="286">
        <v>576313.30000000005</v>
      </c>
      <c r="E21" s="297">
        <f t="shared" si="0"/>
        <v>1158059.18224</v>
      </c>
      <c r="F21" s="294"/>
      <c r="G21" s="294"/>
    </row>
    <row r="22" spans="1:7" s="295" customFormat="1" x14ac:dyDescent="0.25">
      <c r="A22" s="296">
        <v>210024</v>
      </c>
      <c r="B22" s="296" t="s">
        <v>452</v>
      </c>
      <c r="C22" s="286">
        <v>13391966.291650048</v>
      </c>
      <c r="D22" s="286">
        <v>426343.8</v>
      </c>
      <c r="E22" s="297">
        <f t="shared" si="0"/>
        <v>13818310.091650048</v>
      </c>
      <c r="F22" s="294"/>
      <c r="G22" s="294"/>
    </row>
    <row r="23" spans="1:7" s="295" customFormat="1" x14ac:dyDescent="0.25">
      <c r="A23" s="296">
        <v>210027</v>
      </c>
      <c r="B23" s="296" t="s">
        <v>833</v>
      </c>
      <c r="C23" s="286">
        <v>0</v>
      </c>
      <c r="D23" s="286">
        <v>325608</v>
      </c>
      <c r="E23" s="297">
        <f t="shared" si="0"/>
        <v>325608</v>
      </c>
      <c r="F23" s="294"/>
      <c r="G23" s="294"/>
    </row>
    <row r="24" spans="1:7" s="295" customFormat="1" x14ac:dyDescent="0.25">
      <c r="A24" s="296">
        <v>210028</v>
      </c>
      <c r="B24" s="296" t="s">
        <v>834</v>
      </c>
      <c r="C24" s="286">
        <v>0</v>
      </c>
      <c r="D24" s="286">
        <v>178043.9</v>
      </c>
      <c r="E24" s="297">
        <f t="shared" si="0"/>
        <v>178043.9</v>
      </c>
      <c r="F24" s="294"/>
      <c r="G24" s="294"/>
    </row>
    <row r="25" spans="1:7" s="295" customFormat="1" x14ac:dyDescent="0.25">
      <c r="A25" s="296">
        <v>210029</v>
      </c>
      <c r="B25" s="296" t="s">
        <v>835</v>
      </c>
      <c r="C25" s="286">
        <v>22133583</v>
      </c>
      <c r="D25" s="286">
        <v>643455.4</v>
      </c>
      <c r="E25" s="297">
        <f t="shared" si="0"/>
        <v>22777038.399999999</v>
      </c>
      <c r="F25" s="294"/>
      <c r="G25" s="294"/>
    </row>
    <row r="26" spans="1:7" s="295" customFormat="1" x14ac:dyDescent="0.25">
      <c r="A26" s="296">
        <v>210030</v>
      </c>
      <c r="B26" s="296" t="s">
        <v>836</v>
      </c>
      <c r="C26" s="286">
        <v>0</v>
      </c>
      <c r="D26" s="286">
        <v>60065.200000000004</v>
      </c>
      <c r="E26" s="297">
        <f t="shared" si="0"/>
        <v>60065.200000000004</v>
      </c>
      <c r="F26" s="294"/>
      <c r="G26" s="294"/>
    </row>
    <row r="27" spans="1:7" s="295" customFormat="1" x14ac:dyDescent="0.25">
      <c r="A27" s="296">
        <v>210032</v>
      </c>
      <c r="B27" s="296" t="s">
        <v>230</v>
      </c>
      <c r="C27" s="286">
        <v>0</v>
      </c>
      <c r="D27" s="286">
        <v>160304</v>
      </c>
      <c r="E27" s="297">
        <f t="shared" si="0"/>
        <v>160304</v>
      </c>
      <c r="F27" s="294"/>
      <c r="G27" s="294"/>
    </row>
    <row r="28" spans="1:7" s="295" customFormat="1" x14ac:dyDescent="0.25">
      <c r="A28" s="296">
        <v>210033</v>
      </c>
      <c r="B28" s="296" t="s">
        <v>837</v>
      </c>
      <c r="C28" s="286">
        <v>0</v>
      </c>
      <c r="D28" s="286">
        <v>254064.5</v>
      </c>
      <c r="E28" s="297">
        <f t="shared" si="0"/>
        <v>254064.5</v>
      </c>
      <c r="F28" s="294"/>
      <c r="G28" s="294"/>
    </row>
    <row r="29" spans="1:7" s="295" customFormat="1" x14ac:dyDescent="0.25">
      <c r="A29" s="296">
        <v>210034</v>
      </c>
      <c r="B29" s="296" t="s">
        <v>838</v>
      </c>
      <c r="C29" s="286">
        <v>5191474.4526477475</v>
      </c>
      <c r="D29" s="286">
        <v>194368.9</v>
      </c>
      <c r="E29" s="297">
        <f t="shared" si="0"/>
        <v>5385843.3526477478</v>
      </c>
      <c r="F29" s="294"/>
      <c r="G29" s="294"/>
    </row>
    <row r="30" spans="1:7" s="295" customFormat="1" x14ac:dyDescent="0.25">
      <c r="A30" s="296">
        <v>210035</v>
      </c>
      <c r="B30" s="296" t="s">
        <v>839</v>
      </c>
      <c r="C30" s="286">
        <v>0</v>
      </c>
      <c r="D30" s="286">
        <v>148692.70000000001</v>
      </c>
      <c r="E30" s="297">
        <f t="shared" si="0"/>
        <v>148692.70000000001</v>
      </c>
      <c r="F30" s="294"/>
      <c r="G30" s="294"/>
    </row>
    <row r="31" spans="1:7" s="295" customFormat="1" x14ac:dyDescent="0.25">
      <c r="A31" s="296">
        <v>210037</v>
      </c>
      <c r="B31" s="296" t="s">
        <v>840</v>
      </c>
      <c r="C31" s="286">
        <v>0</v>
      </c>
      <c r="D31" s="286">
        <v>199614.1</v>
      </c>
      <c r="E31" s="297">
        <f t="shared" si="0"/>
        <v>199614.1</v>
      </c>
      <c r="F31" s="294"/>
      <c r="G31" s="294"/>
    </row>
    <row r="32" spans="1:7" s="295" customFormat="1" x14ac:dyDescent="0.25">
      <c r="A32" s="296">
        <v>210038</v>
      </c>
      <c r="B32" s="296" t="s">
        <v>841</v>
      </c>
      <c r="C32" s="286">
        <v>4365082.7596828118</v>
      </c>
      <c r="D32" s="286">
        <v>226817</v>
      </c>
      <c r="E32" s="297">
        <f t="shared" si="0"/>
        <v>4591899.7596828118</v>
      </c>
      <c r="F32" s="294"/>
      <c r="G32" s="294"/>
    </row>
    <row r="33" spans="1:7" s="295" customFormat="1" x14ac:dyDescent="0.25">
      <c r="A33" s="296">
        <v>210039</v>
      </c>
      <c r="B33" s="296" t="s">
        <v>842</v>
      </c>
      <c r="C33" s="286">
        <v>0</v>
      </c>
      <c r="D33" s="286">
        <v>146698.6</v>
      </c>
      <c r="E33" s="297">
        <f t="shared" si="0"/>
        <v>146698.6</v>
      </c>
      <c r="F33" s="294"/>
      <c r="G33" s="294"/>
    </row>
    <row r="34" spans="1:7" s="295" customFormat="1" x14ac:dyDescent="0.25">
      <c r="A34" s="296">
        <v>210040</v>
      </c>
      <c r="B34" s="296" t="s">
        <v>575</v>
      </c>
      <c r="C34" s="286">
        <v>0</v>
      </c>
      <c r="D34" s="286">
        <v>257944.7</v>
      </c>
      <c r="E34" s="297">
        <f t="shared" si="0"/>
        <v>257944.7</v>
      </c>
      <c r="F34" s="294"/>
      <c r="G34" s="294"/>
    </row>
    <row r="35" spans="1:7" s="295" customFormat="1" x14ac:dyDescent="0.25">
      <c r="A35" s="296">
        <v>210043</v>
      </c>
      <c r="B35" s="296" t="s">
        <v>843</v>
      </c>
      <c r="C35" s="286">
        <v>631516.70907488</v>
      </c>
      <c r="D35" s="286">
        <v>413064.2</v>
      </c>
      <c r="E35" s="297">
        <f t="shared" si="0"/>
        <v>1044580.9090748799</v>
      </c>
      <c r="F35" s="294"/>
      <c r="G35" s="294"/>
    </row>
    <row r="36" spans="1:7" s="295" customFormat="1" x14ac:dyDescent="0.25">
      <c r="A36" s="296">
        <v>210044</v>
      </c>
      <c r="B36" s="296" t="s">
        <v>518</v>
      </c>
      <c r="C36" s="286">
        <v>8348758.0730863102</v>
      </c>
      <c r="D36" s="286">
        <v>439684.2</v>
      </c>
      <c r="E36" s="297">
        <f t="shared" si="0"/>
        <v>8788442.2730863094</v>
      </c>
      <c r="F36" s="294"/>
      <c r="G36" s="294"/>
    </row>
    <row r="37" spans="1:7" s="295" customFormat="1" x14ac:dyDescent="0.25">
      <c r="A37" s="296">
        <v>210045</v>
      </c>
      <c r="B37" s="296" t="s">
        <v>844</v>
      </c>
      <c r="C37" s="286">
        <v>0</v>
      </c>
      <c r="D37" s="286">
        <v>16309.2</v>
      </c>
      <c r="E37" s="297">
        <f t="shared" si="0"/>
        <v>16309.2</v>
      </c>
      <c r="F37" s="294"/>
      <c r="G37" s="294"/>
    </row>
    <row r="38" spans="1:7" s="295" customFormat="1" x14ac:dyDescent="0.25">
      <c r="A38" s="296">
        <v>210048</v>
      </c>
      <c r="B38" s="296" t="s">
        <v>285</v>
      </c>
      <c r="C38" s="286">
        <v>0</v>
      </c>
      <c r="D38" s="286">
        <v>297946.2</v>
      </c>
      <c r="E38" s="297">
        <f t="shared" si="0"/>
        <v>297946.2</v>
      </c>
      <c r="F38" s="294"/>
      <c r="G38" s="294"/>
    </row>
    <row r="39" spans="1:7" s="295" customFormat="1" x14ac:dyDescent="0.25">
      <c r="A39" s="296">
        <v>210049</v>
      </c>
      <c r="B39" s="296" t="s">
        <v>845</v>
      </c>
      <c r="C39" s="286">
        <v>0</v>
      </c>
      <c r="D39" s="286">
        <v>330967</v>
      </c>
      <c r="E39" s="297">
        <f t="shared" si="0"/>
        <v>330967</v>
      </c>
      <c r="F39" s="294"/>
      <c r="G39" s="294"/>
    </row>
    <row r="40" spans="1:7" s="295" customFormat="1" x14ac:dyDescent="0.25">
      <c r="A40" s="296">
        <v>210051</v>
      </c>
      <c r="B40" s="296" t="s">
        <v>846</v>
      </c>
      <c r="C40" s="286">
        <v>0</v>
      </c>
      <c r="D40" s="286">
        <v>234045.5</v>
      </c>
      <c r="E40" s="297">
        <f t="shared" si="0"/>
        <v>234045.5</v>
      </c>
      <c r="F40" s="294"/>
      <c r="G40" s="294"/>
    </row>
    <row r="41" spans="1:7" s="295" customFormat="1" x14ac:dyDescent="0.25">
      <c r="A41" s="296">
        <v>210056</v>
      </c>
      <c r="B41" s="299" t="s">
        <v>459</v>
      </c>
      <c r="C41" s="286">
        <v>4379484.8807514366</v>
      </c>
      <c r="D41" s="286">
        <v>289108.8</v>
      </c>
      <c r="E41" s="297">
        <f t="shared" si="0"/>
        <v>4668593.6807514364</v>
      </c>
      <c r="F41" s="294"/>
      <c r="G41" s="294"/>
    </row>
    <row r="42" spans="1:7" s="295" customFormat="1" x14ac:dyDescent="0.25">
      <c r="A42" s="296">
        <v>210057</v>
      </c>
      <c r="B42" s="299" t="s">
        <v>847</v>
      </c>
      <c r="C42" s="286">
        <v>0</v>
      </c>
      <c r="D42" s="286">
        <v>388714.39999999997</v>
      </c>
      <c r="E42" s="297">
        <f t="shared" si="0"/>
        <v>388714.39999999997</v>
      </c>
      <c r="F42" s="294"/>
      <c r="G42" s="294"/>
    </row>
    <row r="43" spans="1:7" s="295" customFormat="1" x14ac:dyDescent="0.25">
      <c r="A43" s="296">
        <v>210058</v>
      </c>
      <c r="B43" s="299" t="s">
        <v>848</v>
      </c>
      <c r="C43" s="286">
        <v>3818820.3251999998</v>
      </c>
      <c r="D43" s="286">
        <v>118766.8</v>
      </c>
      <c r="E43" s="297">
        <f t="shared" si="0"/>
        <v>3937587.1251999997</v>
      </c>
      <c r="F43" s="294"/>
      <c r="G43" s="294"/>
    </row>
    <row r="44" spans="1:7" s="295" customFormat="1" x14ac:dyDescent="0.25">
      <c r="A44" s="296">
        <v>210060</v>
      </c>
      <c r="B44" s="299" t="s">
        <v>232</v>
      </c>
      <c r="C44" s="286">
        <v>0</v>
      </c>
      <c r="D44" s="286">
        <v>48727.769</v>
      </c>
      <c r="E44" s="297">
        <f t="shared" si="0"/>
        <v>48727.769</v>
      </c>
      <c r="F44" s="294"/>
      <c r="G44" s="294"/>
    </row>
    <row r="45" spans="1:7" s="295" customFormat="1" x14ac:dyDescent="0.25">
      <c r="A45" s="296">
        <v>210061</v>
      </c>
      <c r="B45" s="299" t="s">
        <v>242</v>
      </c>
      <c r="C45" s="286">
        <v>0</v>
      </c>
      <c r="D45" s="286">
        <v>105461.5</v>
      </c>
      <c r="E45" s="297">
        <f t="shared" si="0"/>
        <v>105461.5</v>
      </c>
      <c r="F45" s="294"/>
      <c r="G45" s="294"/>
    </row>
    <row r="46" spans="1:7" s="295" customFormat="1" x14ac:dyDescent="0.25">
      <c r="A46" s="296">
        <v>210062</v>
      </c>
      <c r="B46" s="299" t="s">
        <v>849</v>
      </c>
      <c r="C46" s="286">
        <v>0</v>
      </c>
      <c r="D46" s="286">
        <v>271938.7</v>
      </c>
      <c r="E46" s="297">
        <f t="shared" si="0"/>
        <v>271938.7</v>
      </c>
      <c r="F46" s="294"/>
      <c r="G46" s="294"/>
    </row>
    <row r="47" spans="1:7" s="295" customFormat="1" x14ac:dyDescent="0.25">
      <c r="A47" s="296">
        <v>210063</v>
      </c>
      <c r="B47" s="299" t="s">
        <v>850</v>
      </c>
      <c r="C47" s="286">
        <v>0</v>
      </c>
      <c r="D47" s="286">
        <v>402082.7</v>
      </c>
      <c r="E47" s="297">
        <f t="shared" si="0"/>
        <v>402082.7</v>
      </c>
      <c r="F47" s="294"/>
      <c r="G47" s="294"/>
    </row>
    <row r="48" spans="1:7" s="295" customFormat="1" x14ac:dyDescent="0.25">
      <c r="A48" s="296">
        <v>210064</v>
      </c>
      <c r="B48" s="299" t="s">
        <v>198</v>
      </c>
      <c r="C48" s="286">
        <v>0</v>
      </c>
      <c r="D48" s="286">
        <v>60312.800000000003</v>
      </c>
      <c r="E48" s="297">
        <f t="shared" si="0"/>
        <v>60312.800000000003</v>
      </c>
      <c r="F48" s="294"/>
      <c r="G48" s="294"/>
    </row>
    <row r="49" spans="1:7" s="295" customFormat="1" x14ac:dyDescent="0.25">
      <c r="A49" s="296">
        <v>210065</v>
      </c>
      <c r="B49" s="299" t="s">
        <v>851</v>
      </c>
      <c r="C49" s="286">
        <v>0</v>
      </c>
      <c r="D49" s="286">
        <v>80883.3</v>
      </c>
      <c r="E49" s="297">
        <f t="shared" si="0"/>
        <v>80883.3</v>
      </c>
      <c r="F49" s="294"/>
      <c r="G49" s="294"/>
    </row>
    <row r="50" spans="1:7" s="295" customFormat="1" x14ac:dyDescent="0.25">
      <c r="A50" s="296">
        <v>213300</v>
      </c>
      <c r="B50" s="299" t="s">
        <v>852</v>
      </c>
      <c r="C50" s="286">
        <v>0</v>
      </c>
      <c r="D50" s="286">
        <v>58585.9</v>
      </c>
      <c r="E50" s="297">
        <f t="shared" si="0"/>
        <v>58585.9</v>
      </c>
      <c r="F50" s="294"/>
      <c r="G50" s="294"/>
    </row>
    <row r="51" spans="1:7" s="295" customFormat="1" x14ac:dyDescent="0.25">
      <c r="A51" s="296">
        <v>214000</v>
      </c>
      <c r="B51" s="299" t="s">
        <v>199</v>
      </c>
      <c r="C51" s="286">
        <v>2525139.1799999992</v>
      </c>
      <c r="D51" s="286">
        <v>145348.80000000002</v>
      </c>
      <c r="E51" s="297">
        <f t="shared" si="0"/>
        <v>2670487.9799999991</v>
      </c>
      <c r="F51" s="294"/>
      <c r="G51" s="294"/>
    </row>
    <row r="52" spans="1:7" s="295" customFormat="1" x14ac:dyDescent="0.25">
      <c r="A52" s="296">
        <v>213029</v>
      </c>
      <c r="B52" s="299" t="s">
        <v>853</v>
      </c>
      <c r="C52" s="286">
        <v>0</v>
      </c>
      <c r="D52" s="286">
        <v>59505.493000000002</v>
      </c>
      <c r="E52" s="297">
        <f t="shared" si="0"/>
        <v>59505.493000000002</v>
      </c>
      <c r="F52" s="294"/>
      <c r="G52" s="294"/>
    </row>
    <row r="53" spans="1:7" s="295" customFormat="1" x14ac:dyDescent="0.25">
      <c r="A53" s="289"/>
      <c r="B53" s="300" t="s">
        <v>195</v>
      </c>
      <c r="C53" s="288">
        <f>SUM(C3:C52)</f>
        <v>344079519.64127845</v>
      </c>
      <c r="D53" s="288">
        <f>SUM(D3:D52)</f>
        <v>16639269.998999998</v>
      </c>
      <c r="E53" s="301">
        <f>SUM(E3:E52)</f>
        <v>360718789.64027828</v>
      </c>
      <c r="F53" s="340"/>
      <c r="G53" s="294"/>
    </row>
    <row r="54" spans="1:7" x14ac:dyDescent="0.25">
      <c r="E54" s="291"/>
    </row>
  </sheetData>
  <sheetProtection algorithmName="SHA-512" hashValue="hSwyJbZ64CmdI05yMgVDGz4eRcCMIPtSjaA3VCE/n8RYVHamrNJeyhgaUZKfNpXrlkuagwQaXpWu/uha1mzk2A==" saltValue="AOta0vHLldSYrUd8nJTi2A==" spinCount="100000" sheet="1" objects="1" scenarios="1"/>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56"/>
  <sheetViews>
    <sheetView showGridLines="0" zoomScale="80" zoomScaleNormal="80" zoomScaleSheetLayoutView="80" workbookViewId="0">
      <selection activeCell="D2" sqref="D2:H2"/>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810</v>
      </c>
      <c r="D5" s="437"/>
      <c r="E5" s="437"/>
      <c r="F5" s="437"/>
      <c r="G5" s="438"/>
    </row>
    <row r="6" spans="1:11" ht="18" customHeight="1" x14ac:dyDescent="0.2">
      <c r="B6" s="435" t="s">
        <v>3</v>
      </c>
      <c r="C6" s="488" t="s">
        <v>811</v>
      </c>
      <c r="D6" s="440"/>
      <c r="E6" s="440"/>
      <c r="F6" s="440"/>
      <c r="G6" s="441"/>
    </row>
    <row r="7" spans="1:11" ht="18" customHeight="1" x14ac:dyDescent="0.2">
      <c r="B7" s="435" t="s">
        <v>4</v>
      </c>
      <c r="C7" s="398">
        <v>2603</v>
      </c>
      <c r="D7" s="399"/>
      <c r="E7" s="399"/>
      <c r="F7" s="399"/>
      <c r="G7" s="400"/>
    </row>
    <row r="9" spans="1:11" ht="18" customHeight="1" x14ac:dyDescent="0.2">
      <c r="B9" s="435" t="s">
        <v>1</v>
      </c>
      <c r="C9" s="489" t="s">
        <v>812</v>
      </c>
      <c r="D9" s="437"/>
      <c r="E9" s="437"/>
      <c r="F9" s="437"/>
      <c r="G9" s="438"/>
    </row>
    <row r="10" spans="1:11" ht="18" customHeight="1" x14ac:dyDescent="0.2">
      <c r="B10" s="435" t="s">
        <v>2</v>
      </c>
      <c r="C10" s="490" t="s">
        <v>813</v>
      </c>
      <c r="D10" s="446"/>
      <c r="E10" s="446"/>
      <c r="F10" s="446"/>
      <c r="G10" s="447"/>
    </row>
    <row r="11" spans="1:11" ht="18" customHeight="1" x14ac:dyDescent="0.2">
      <c r="B11" s="435" t="s">
        <v>32</v>
      </c>
      <c r="C11" s="436" t="s">
        <v>317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8898324.9499999993</v>
      </c>
      <c r="I18" s="133">
        <v>0</v>
      </c>
      <c r="J18" s="118">
        <v>7520840.4900000002</v>
      </c>
      <c r="K18" s="118">
        <f>(H18+I18)-J18</f>
        <v>1377484.459999999</v>
      </c>
    </row>
    <row r="19" spans="1:11" ht="45.2"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652</v>
      </c>
      <c r="G21" s="221">
        <v>3740</v>
      </c>
      <c r="H21" s="118">
        <v>159610.81</v>
      </c>
      <c r="I21" s="133">
        <v>124241.52</v>
      </c>
      <c r="J21" s="118"/>
      <c r="K21" s="118">
        <f t="shared" ref="K21:K34" si="0">(H21+I21)-J21</f>
        <v>283852.33</v>
      </c>
    </row>
    <row r="22" spans="1:11" ht="18" customHeight="1" x14ac:dyDescent="0.2">
      <c r="A22" s="435" t="s">
        <v>76</v>
      </c>
      <c r="B22" s="259" t="s">
        <v>6</v>
      </c>
      <c r="F22" s="221">
        <v>88</v>
      </c>
      <c r="G22" s="221">
        <v>6655</v>
      </c>
      <c r="H22" s="118">
        <v>4711.5200000000004</v>
      </c>
      <c r="I22" s="133">
        <v>3667.46</v>
      </c>
      <c r="J22" s="118"/>
      <c r="K22" s="118">
        <f t="shared" si="0"/>
        <v>8378.98</v>
      </c>
    </row>
    <row r="23" spans="1:11" ht="18" customHeight="1" x14ac:dyDescent="0.2">
      <c r="A23" s="435" t="s">
        <v>77</v>
      </c>
      <c r="B23" s="259" t="s">
        <v>43</v>
      </c>
      <c r="F23" s="221"/>
      <c r="G23" s="221">
        <v>3343</v>
      </c>
      <c r="H23" s="118">
        <v>90781.19</v>
      </c>
      <c r="I23" s="133">
        <v>70664.34</v>
      </c>
      <c r="J23" s="118"/>
      <c r="K23" s="118">
        <f t="shared" si="0"/>
        <v>161445.53</v>
      </c>
    </row>
    <row r="24" spans="1:11" ht="18" customHeight="1" x14ac:dyDescent="0.2">
      <c r="A24" s="435" t="s">
        <v>78</v>
      </c>
      <c r="B24" s="259" t="s">
        <v>44</v>
      </c>
      <c r="F24" s="221"/>
      <c r="G24" s="221"/>
      <c r="H24" s="118"/>
      <c r="I24" s="133">
        <f t="shared" ref="I24:I34" si="1">H24*F$114</f>
        <v>0</v>
      </c>
      <c r="J24" s="118"/>
      <c r="K24" s="118">
        <f t="shared" si="0"/>
        <v>0</v>
      </c>
    </row>
    <row r="25" spans="1:11" ht="18" customHeight="1" x14ac:dyDescent="0.2">
      <c r="A25" s="435" t="s">
        <v>79</v>
      </c>
      <c r="B25" s="259" t="s">
        <v>5</v>
      </c>
      <c r="F25" s="221">
        <v>2389</v>
      </c>
      <c r="G25" s="221">
        <v>4686</v>
      </c>
      <c r="H25" s="118">
        <v>131865.24</v>
      </c>
      <c r="I25" s="133">
        <v>102664.29</v>
      </c>
      <c r="J25" s="118"/>
      <c r="K25" s="118">
        <f t="shared" si="0"/>
        <v>234529.52999999997</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v>2380</v>
      </c>
      <c r="G28" s="221"/>
      <c r="H28" s="118">
        <v>203726.58</v>
      </c>
      <c r="I28" s="133">
        <v>158581.37</v>
      </c>
      <c r="J28" s="118">
        <v>110000</v>
      </c>
      <c r="K28" s="118">
        <f t="shared" si="0"/>
        <v>252307.94999999995</v>
      </c>
    </row>
    <row r="29" spans="1:11" ht="18" customHeight="1" x14ac:dyDescent="0.2">
      <c r="A29" s="435" t="s">
        <v>83</v>
      </c>
      <c r="B29" s="259" t="s">
        <v>48</v>
      </c>
      <c r="F29" s="221"/>
      <c r="G29" s="221">
        <v>5805</v>
      </c>
      <c r="H29" s="118">
        <v>2261284.77</v>
      </c>
      <c r="I29" s="133">
        <v>1760190.68</v>
      </c>
      <c r="J29" s="118"/>
      <c r="K29" s="118">
        <f t="shared" si="0"/>
        <v>4021475.45</v>
      </c>
    </row>
    <row r="30" spans="1:11" ht="18" customHeight="1" x14ac:dyDescent="0.2">
      <c r="A30" s="435" t="s">
        <v>84</v>
      </c>
      <c r="B30" s="456"/>
      <c r="C30" s="457"/>
      <c r="D30" s="458"/>
      <c r="F30" s="221"/>
      <c r="G30" s="221"/>
      <c r="H30" s="118"/>
      <c r="I30" s="133">
        <f t="shared" si="1"/>
        <v>0</v>
      </c>
      <c r="J30" s="118"/>
      <c r="K30" s="118">
        <f t="shared" si="0"/>
        <v>0</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5509</v>
      </c>
      <c r="G36" s="221">
        <f t="shared" si="2"/>
        <v>24229</v>
      </c>
      <c r="H36" s="221">
        <f t="shared" si="2"/>
        <v>2851980.11</v>
      </c>
      <c r="I36" s="118">
        <f t="shared" si="2"/>
        <v>2220009.66</v>
      </c>
      <c r="J36" s="118">
        <f t="shared" si="2"/>
        <v>110000</v>
      </c>
      <c r="K36" s="118">
        <f t="shared" si="2"/>
        <v>4961989.7699999996</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5520</v>
      </c>
      <c r="G40" s="221">
        <v>8735</v>
      </c>
      <c r="H40" s="118">
        <v>4275873.7</v>
      </c>
      <c r="I40" s="133">
        <v>0</v>
      </c>
      <c r="J40" s="118"/>
      <c r="K40" s="118">
        <f t="shared" ref="K40:K47" si="3">(H40+I40)-J40</f>
        <v>4275873.7</v>
      </c>
    </row>
    <row r="41" spans="1:11" ht="18" customHeight="1" x14ac:dyDescent="0.2">
      <c r="A41" s="435" t="s">
        <v>88</v>
      </c>
      <c r="B41" s="465" t="s">
        <v>50</v>
      </c>
      <c r="C41" s="466"/>
      <c r="F41" s="221">
        <v>327</v>
      </c>
      <c r="G41" s="221"/>
      <c r="H41" s="118">
        <v>644029.59</v>
      </c>
      <c r="I41" s="133">
        <v>0</v>
      </c>
      <c r="J41" s="118"/>
      <c r="K41" s="118">
        <f t="shared" si="3"/>
        <v>644029.59</v>
      </c>
    </row>
    <row r="42" spans="1:11" ht="18" customHeight="1" x14ac:dyDescent="0.2">
      <c r="A42" s="435" t="s">
        <v>89</v>
      </c>
      <c r="B42" s="419" t="s">
        <v>11</v>
      </c>
      <c r="F42" s="221">
        <v>109</v>
      </c>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5956</v>
      </c>
      <c r="G49" s="409">
        <f t="shared" si="4"/>
        <v>8735</v>
      </c>
      <c r="H49" s="118">
        <f t="shared" si="4"/>
        <v>4919903.29</v>
      </c>
      <c r="I49" s="118">
        <f t="shared" si="4"/>
        <v>0</v>
      </c>
      <c r="J49" s="118">
        <f t="shared" si="4"/>
        <v>0</v>
      </c>
      <c r="K49" s="118">
        <f t="shared" si="4"/>
        <v>4919903.29</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468</v>
      </c>
      <c r="C53" s="411"/>
      <c r="D53" s="412"/>
      <c r="F53" s="221"/>
      <c r="G53" s="221">
        <v>1892</v>
      </c>
      <c r="H53" s="118">
        <v>7389594.1600000001</v>
      </c>
      <c r="I53" s="133">
        <v>0</v>
      </c>
      <c r="J53" s="118">
        <v>0</v>
      </c>
      <c r="K53" s="118">
        <f t="shared" ref="K53:K62" si="5">(H53+I53)-J53</f>
        <v>7389594.1600000001</v>
      </c>
    </row>
    <row r="54" spans="1:11" ht="18" customHeight="1" x14ac:dyDescent="0.2">
      <c r="A54" s="435" t="s">
        <v>93</v>
      </c>
      <c r="B54" s="420" t="s">
        <v>347</v>
      </c>
      <c r="C54" s="414"/>
      <c r="D54" s="415"/>
      <c r="F54" s="221">
        <v>0</v>
      </c>
      <c r="G54" s="221">
        <v>2396</v>
      </c>
      <c r="H54" s="118">
        <f>+'[8]PG UR6'!$M$55*1000</f>
        <v>9016934.9729096834</v>
      </c>
      <c r="I54" s="133">
        <v>0</v>
      </c>
      <c r="J54" s="118">
        <f>+'[8]PG UR6'!$L$55*1000</f>
        <v>686000</v>
      </c>
      <c r="K54" s="118">
        <f t="shared" si="5"/>
        <v>8330934.9729096834</v>
      </c>
    </row>
    <row r="55" spans="1:11" ht="18" customHeight="1" x14ac:dyDescent="0.2">
      <c r="A55" s="435" t="s">
        <v>94</v>
      </c>
      <c r="B55" s="420" t="s">
        <v>319</v>
      </c>
      <c r="C55" s="420"/>
      <c r="D55" s="420"/>
      <c r="F55" s="221">
        <v>8990</v>
      </c>
      <c r="G55" s="221">
        <v>10269</v>
      </c>
      <c r="H55" s="118">
        <v>7644330.1299999999</v>
      </c>
      <c r="I55" s="133">
        <v>0</v>
      </c>
      <c r="J55" s="118">
        <v>1193000</v>
      </c>
      <c r="K55" s="118">
        <f t="shared" si="5"/>
        <v>6451330.1299999999</v>
      </c>
    </row>
    <row r="56" spans="1:11" ht="18" customHeight="1" x14ac:dyDescent="0.2">
      <c r="A56" s="435" t="s">
        <v>95</v>
      </c>
      <c r="B56" s="420" t="s">
        <v>318</v>
      </c>
      <c r="C56" s="420"/>
      <c r="D56" s="420"/>
      <c r="F56" s="221">
        <v>0</v>
      </c>
      <c r="G56" s="221">
        <v>5246</v>
      </c>
      <c r="H56" s="118">
        <v>11097585.07</v>
      </c>
      <c r="I56" s="133">
        <v>0</v>
      </c>
      <c r="J56" s="118">
        <f>+'[8]PG UR6'!$L$57*1000</f>
        <v>1543000</v>
      </c>
      <c r="K56" s="118">
        <f t="shared" si="5"/>
        <v>9554585.0700000003</v>
      </c>
    </row>
    <row r="57" spans="1:11" ht="18" customHeight="1" x14ac:dyDescent="0.2">
      <c r="A57" s="435" t="s">
        <v>96</v>
      </c>
      <c r="B57" s="420" t="s">
        <v>348</v>
      </c>
      <c r="C57" s="420"/>
      <c r="D57" s="420"/>
      <c r="F57" s="221">
        <v>0</v>
      </c>
      <c r="G57" s="221">
        <v>1331</v>
      </c>
      <c r="H57" s="118">
        <f>+'[8]PG UR6'!$M$58*1000</f>
        <v>5272067.8852828825</v>
      </c>
      <c r="I57" s="133">
        <v>0</v>
      </c>
      <c r="J57" s="118">
        <f>+'[8]PG UR6'!$L$58*1000</f>
        <v>289000</v>
      </c>
      <c r="K57" s="118">
        <f t="shared" si="5"/>
        <v>4983067.8852828825</v>
      </c>
    </row>
    <row r="58" spans="1:11" ht="18" customHeight="1" x14ac:dyDescent="0.2">
      <c r="A58" s="435" t="s">
        <v>97</v>
      </c>
      <c r="B58" s="420" t="s">
        <v>469</v>
      </c>
      <c r="C58" s="420"/>
      <c r="D58" s="420"/>
      <c r="F58" s="221">
        <v>150197</v>
      </c>
      <c r="G58" s="221">
        <v>1197</v>
      </c>
      <c r="H58" s="118">
        <v>4707284.34</v>
      </c>
      <c r="I58" s="133">
        <v>0</v>
      </c>
      <c r="J58" s="118">
        <v>2631000</v>
      </c>
      <c r="K58" s="118">
        <f t="shared" si="5"/>
        <v>2076284.3399999999</v>
      </c>
    </row>
    <row r="59" spans="1:11" ht="18" customHeight="1" x14ac:dyDescent="0.2">
      <c r="A59" s="435" t="s">
        <v>98</v>
      </c>
      <c r="B59" s="418" t="s">
        <v>320</v>
      </c>
      <c r="C59" s="417"/>
      <c r="D59" s="412"/>
      <c r="F59" s="221">
        <v>100286</v>
      </c>
      <c r="G59" s="221">
        <v>3187</v>
      </c>
      <c r="H59" s="118">
        <v>3132415.67</v>
      </c>
      <c r="I59" s="133">
        <v>0</v>
      </c>
      <c r="J59" s="118">
        <v>0</v>
      </c>
      <c r="K59" s="118">
        <f t="shared" si="5"/>
        <v>3132415.67</v>
      </c>
    </row>
    <row r="60" spans="1:11" ht="18" customHeight="1" x14ac:dyDescent="0.2">
      <c r="A60" s="435" t="s">
        <v>99</v>
      </c>
      <c r="B60" s="420" t="s">
        <v>814</v>
      </c>
      <c r="C60" s="414"/>
      <c r="D60" s="415"/>
      <c r="F60" s="221"/>
      <c r="G60" s="221">
        <v>63232</v>
      </c>
      <c r="H60" s="118">
        <v>3714659.23</v>
      </c>
      <c r="I60" s="133">
        <v>0</v>
      </c>
      <c r="J60" s="118">
        <f>+'[8]PG UR6'!$L$61*1000</f>
        <v>1255000</v>
      </c>
      <c r="K60" s="118">
        <f t="shared" si="5"/>
        <v>2459659.23</v>
      </c>
    </row>
    <row r="61" spans="1:11" ht="18" customHeight="1" x14ac:dyDescent="0.2">
      <c r="A61" s="435" t="s">
        <v>100</v>
      </c>
      <c r="B61" s="420" t="s">
        <v>470</v>
      </c>
      <c r="C61" s="414"/>
      <c r="D61" s="415"/>
      <c r="F61" s="221"/>
      <c r="G61" s="221">
        <v>4660</v>
      </c>
      <c r="H61" s="118">
        <v>5473416.1600000001</v>
      </c>
      <c r="I61" s="133">
        <v>0</v>
      </c>
      <c r="J61" s="118">
        <v>337000</v>
      </c>
      <c r="K61" s="118">
        <f t="shared" si="5"/>
        <v>5136416.16</v>
      </c>
    </row>
    <row r="62" spans="1:11" ht="18" customHeight="1" x14ac:dyDescent="0.2">
      <c r="A62" s="435" t="s">
        <v>101</v>
      </c>
      <c r="B62" s="418" t="s">
        <v>345</v>
      </c>
      <c r="C62" s="417"/>
      <c r="D62" s="412"/>
      <c r="F62" s="221"/>
      <c r="G62" s="221">
        <v>2393</v>
      </c>
      <c r="H62" s="118">
        <v>4262726</v>
      </c>
      <c r="I62" s="133">
        <v>0</v>
      </c>
      <c r="J62" s="118">
        <v>0</v>
      </c>
      <c r="K62" s="118">
        <f t="shared" si="5"/>
        <v>4262726</v>
      </c>
    </row>
    <row r="63" spans="1:11" ht="18" customHeight="1" x14ac:dyDescent="0.2">
      <c r="A63" s="435"/>
      <c r="I63" s="129"/>
    </row>
    <row r="64" spans="1:11" ht="18" customHeight="1" x14ac:dyDescent="0.2">
      <c r="A64" s="435" t="s">
        <v>144</v>
      </c>
      <c r="B64" s="421" t="s">
        <v>145</v>
      </c>
      <c r="E64" s="421" t="s">
        <v>7</v>
      </c>
      <c r="F64" s="221">
        <f t="shared" ref="F64:K64" si="6">SUM(F53:F62)</f>
        <v>259473</v>
      </c>
      <c r="G64" s="221">
        <f t="shared" si="6"/>
        <v>95803</v>
      </c>
      <c r="H64" s="118">
        <f t="shared" si="6"/>
        <v>61711013.618192568</v>
      </c>
      <c r="I64" s="118">
        <f t="shared" si="6"/>
        <v>0</v>
      </c>
      <c r="J64" s="118">
        <f t="shared" si="6"/>
        <v>7934000</v>
      </c>
      <c r="K64" s="118">
        <f t="shared" si="6"/>
        <v>53777013.618192568</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v>260384</v>
      </c>
      <c r="I68" s="133">
        <v>0</v>
      </c>
      <c r="J68" s="122"/>
      <c r="K68" s="118">
        <f>(H68+I68)-J68</f>
        <v>260384</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260384</v>
      </c>
      <c r="I74" s="133">
        <f t="shared" si="7"/>
        <v>0</v>
      </c>
      <c r="J74" s="122">
        <f t="shared" si="7"/>
        <v>0</v>
      </c>
      <c r="K74" s="118">
        <f t="shared" si="7"/>
        <v>260384</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2500</v>
      </c>
      <c r="I77" s="133">
        <v>0</v>
      </c>
      <c r="J77" s="118"/>
      <c r="K77" s="118">
        <f>(H77+I77)-J77</f>
        <v>2500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v>28000</v>
      </c>
      <c r="I79" s="133">
        <v>0</v>
      </c>
      <c r="J79" s="118"/>
      <c r="K79" s="118">
        <f>(H79+I79)-J79</f>
        <v>28000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30500</v>
      </c>
      <c r="I82" s="118">
        <f t="shared" si="8"/>
        <v>0</v>
      </c>
      <c r="J82" s="118">
        <f t="shared" si="8"/>
        <v>0</v>
      </c>
      <c r="K82" s="118">
        <f t="shared" si="8"/>
        <v>30500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96</v>
      </c>
      <c r="G88" s="221">
        <v>112</v>
      </c>
      <c r="H88" s="118">
        <v>3675</v>
      </c>
      <c r="I88" s="133">
        <v>2860.63</v>
      </c>
      <c r="J88" s="118"/>
      <c r="K88" s="118">
        <f t="shared" si="10"/>
        <v>6535.63</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228</v>
      </c>
      <c r="G91" s="221"/>
      <c r="H91" s="118">
        <v>79844.34</v>
      </c>
      <c r="I91" s="133">
        <v>62151.07</v>
      </c>
      <c r="J91" s="118"/>
      <c r="K91" s="118">
        <f t="shared" si="10"/>
        <v>141995.41</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v>137</v>
      </c>
      <c r="G93" s="221"/>
      <c r="H93" s="118">
        <v>17454</v>
      </c>
      <c r="I93" s="133">
        <v>13586.24</v>
      </c>
      <c r="J93" s="118"/>
      <c r="K93" s="118">
        <f t="shared" si="10"/>
        <v>31040.239999999998</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461</v>
      </c>
      <c r="G98" s="221">
        <f t="shared" si="11"/>
        <v>112</v>
      </c>
      <c r="H98" s="221">
        <f t="shared" si="11"/>
        <v>100973.34</v>
      </c>
      <c r="I98" s="221">
        <f t="shared" si="11"/>
        <v>78597.94</v>
      </c>
      <c r="J98" s="221">
        <f t="shared" si="11"/>
        <v>0</v>
      </c>
      <c r="K98" s="221">
        <f t="shared" si="11"/>
        <v>179571.28</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4160</v>
      </c>
      <c r="G102" s="221"/>
      <c r="H102" s="118">
        <v>347914</v>
      </c>
      <c r="I102" s="133">
        <v>270817.28000000003</v>
      </c>
      <c r="J102" s="118"/>
      <c r="K102" s="118">
        <f>(H102+I102)-J102</f>
        <v>618731.28</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t="s">
        <v>479</v>
      </c>
      <c r="C104" s="417"/>
      <c r="D104" s="412"/>
      <c r="F104" s="221"/>
      <c r="G104" s="221"/>
      <c r="H104" s="118">
        <v>0</v>
      </c>
      <c r="I104" s="133">
        <f>H104*F$114</f>
        <v>0</v>
      </c>
      <c r="J104" s="118"/>
      <c r="K104" s="118">
        <f>(H104+I104)-J104</f>
        <v>0</v>
      </c>
    </row>
    <row r="105" spans="1:11" ht="18" customHeight="1" x14ac:dyDescent="0.2">
      <c r="A105" s="435" t="s">
        <v>127</v>
      </c>
      <c r="B105" s="418" t="s">
        <v>815</v>
      </c>
      <c r="C105" s="417"/>
      <c r="D105" s="412"/>
      <c r="F105" s="221"/>
      <c r="G105" s="221"/>
      <c r="H105" s="118">
        <v>70000</v>
      </c>
      <c r="I105" s="133">
        <v>54488.2</v>
      </c>
      <c r="J105" s="118"/>
      <c r="K105" s="118">
        <f>(H105+I105)-J105</f>
        <v>124488.2</v>
      </c>
    </row>
    <row r="106" spans="1:11" ht="18" customHeight="1" x14ac:dyDescent="0.2">
      <c r="A106" s="435" t="s">
        <v>129</v>
      </c>
      <c r="B106" s="418" t="s">
        <v>816</v>
      </c>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4160</v>
      </c>
      <c r="G108" s="221">
        <f t="shared" si="12"/>
        <v>0</v>
      </c>
      <c r="H108" s="118">
        <f t="shared" si="12"/>
        <v>417914</v>
      </c>
      <c r="I108" s="118">
        <f t="shared" si="12"/>
        <v>325305.48000000004</v>
      </c>
      <c r="J108" s="118">
        <f t="shared" si="12"/>
        <v>0</v>
      </c>
      <c r="K108" s="118">
        <f t="shared" si="12"/>
        <v>743219.48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12147000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0.77839999999999998</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248794000</v>
      </c>
    </row>
    <row r="118" spans="1:6" ht="18" customHeight="1" x14ac:dyDescent="0.2">
      <c r="A118" s="435" t="s">
        <v>173</v>
      </c>
      <c r="B118" s="259" t="s">
        <v>18</v>
      </c>
      <c r="F118" s="118">
        <v>35059000</v>
      </c>
    </row>
    <row r="119" spans="1:6" ht="18" customHeight="1" x14ac:dyDescent="0.2">
      <c r="A119" s="435" t="s">
        <v>174</v>
      </c>
      <c r="B119" s="421" t="s">
        <v>19</v>
      </c>
      <c r="F119" s="118">
        <f>SUM(F117:F118)</f>
        <v>283853000</v>
      </c>
    </row>
    <row r="120" spans="1:6" ht="18" customHeight="1" x14ac:dyDescent="0.2">
      <c r="A120" s="435"/>
      <c r="B120" s="421"/>
    </row>
    <row r="121" spans="1:6" ht="18" customHeight="1" x14ac:dyDescent="0.2">
      <c r="A121" s="435" t="s">
        <v>167</v>
      </c>
      <c r="B121" s="421" t="s">
        <v>36</v>
      </c>
      <c r="F121" s="118">
        <v>285839000</v>
      </c>
    </row>
    <row r="122" spans="1:6" ht="18" customHeight="1" x14ac:dyDescent="0.2">
      <c r="A122" s="435"/>
    </row>
    <row r="123" spans="1:6" ht="18" customHeight="1" x14ac:dyDescent="0.2">
      <c r="A123" s="435" t="s">
        <v>175</v>
      </c>
      <c r="B123" s="421" t="s">
        <v>20</v>
      </c>
      <c r="F123" s="118">
        <v>-1986000</v>
      </c>
    </row>
    <row r="124" spans="1:6" ht="18" customHeight="1" x14ac:dyDescent="0.2">
      <c r="A124" s="435"/>
    </row>
    <row r="125" spans="1:6" ht="18" customHeight="1" x14ac:dyDescent="0.2">
      <c r="A125" s="435" t="s">
        <v>176</v>
      </c>
      <c r="B125" s="421" t="s">
        <v>21</v>
      </c>
      <c r="F125" s="118">
        <v>1437000</v>
      </c>
    </row>
    <row r="126" spans="1:6" ht="18" customHeight="1" x14ac:dyDescent="0.2">
      <c r="A126" s="435"/>
    </row>
    <row r="127" spans="1:6" ht="18" customHeight="1" x14ac:dyDescent="0.2">
      <c r="A127" s="435" t="s">
        <v>177</v>
      </c>
      <c r="B127" s="421" t="s">
        <v>22</v>
      </c>
      <c r="F127" s="118">
        <v>-549000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v>167000</v>
      </c>
      <c r="I131" s="133">
        <v>0</v>
      </c>
      <c r="J131" s="118"/>
      <c r="K131" s="118">
        <f>(H131+I131)-J131</f>
        <v>167000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167000</v>
      </c>
      <c r="I137" s="118">
        <f t="shared" si="13"/>
        <v>0</v>
      </c>
      <c r="J137" s="118">
        <f t="shared" si="13"/>
        <v>0</v>
      </c>
      <c r="K137" s="118">
        <f t="shared" si="13"/>
        <v>167000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5509</v>
      </c>
      <c r="G141" s="422">
        <f t="shared" si="14"/>
        <v>24229</v>
      </c>
      <c r="H141" s="422">
        <f t="shared" si="14"/>
        <v>2851980.11</v>
      </c>
      <c r="I141" s="422">
        <f t="shared" si="14"/>
        <v>2220009.66</v>
      </c>
      <c r="J141" s="422">
        <f t="shared" si="14"/>
        <v>110000</v>
      </c>
      <c r="K141" s="422">
        <f t="shared" si="14"/>
        <v>4961989.7699999996</v>
      </c>
    </row>
    <row r="142" spans="1:11" ht="18" customHeight="1" x14ac:dyDescent="0.2">
      <c r="A142" s="435" t="s">
        <v>142</v>
      </c>
      <c r="B142" s="421" t="s">
        <v>65</v>
      </c>
      <c r="F142" s="422">
        <f t="shared" ref="F142:K142" si="15">F49</f>
        <v>5956</v>
      </c>
      <c r="G142" s="422">
        <f t="shared" si="15"/>
        <v>8735</v>
      </c>
      <c r="H142" s="422">
        <f t="shared" si="15"/>
        <v>4919903.29</v>
      </c>
      <c r="I142" s="422">
        <f t="shared" si="15"/>
        <v>0</v>
      </c>
      <c r="J142" s="422">
        <f t="shared" si="15"/>
        <v>0</v>
      </c>
      <c r="K142" s="422">
        <f t="shared" si="15"/>
        <v>4919903.29</v>
      </c>
    </row>
    <row r="143" spans="1:11" ht="18" customHeight="1" x14ac:dyDescent="0.2">
      <c r="A143" s="435" t="s">
        <v>144</v>
      </c>
      <c r="B143" s="421" t="s">
        <v>66</v>
      </c>
      <c r="F143" s="422">
        <f t="shared" ref="F143:K143" si="16">F64</f>
        <v>259473</v>
      </c>
      <c r="G143" s="422">
        <f t="shared" si="16"/>
        <v>95803</v>
      </c>
      <c r="H143" s="422">
        <f t="shared" si="16"/>
        <v>61711013.618192568</v>
      </c>
      <c r="I143" s="422">
        <f t="shared" si="16"/>
        <v>0</v>
      </c>
      <c r="J143" s="422">
        <f t="shared" si="16"/>
        <v>7934000</v>
      </c>
      <c r="K143" s="422">
        <f t="shared" si="16"/>
        <v>53777013.618192568</v>
      </c>
    </row>
    <row r="144" spans="1:11" ht="18" customHeight="1" x14ac:dyDescent="0.2">
      <c r="A144" s="435" t="s">
        <v>146</v>
      </c>
      <c r="B144" s="421" t="s">
        <v>67</v>
      </c>
      <c r="F144" s="422">
        <f t="shared" ref="F144:K144" si="17">F74</f>
        <v>0</v>
      </c>
      <c r="G144" s="422">
        <f t="shared" si="17"/>
        <v>0</v>
      </c>
      <c r="H144" s="422">
        <f t="shared" si="17"/>
        <v>260384</v>
      </c>
      <c r="I144" s="422">
        <f t="shared" si="17"/>
        <v>0</v>
      </c>
      <c r="J144" s="422">
        <f t="shared" si="17"/>
        <v>0</v>
      </c>
      <c r="K144" s="422">
        <f t="shared" si="17"/>
        <v>260384</v>
      </c>
    </row>
    <row r="145" spans="1:11" ht="18" customHeight="1" x14ac:dyDescent="0.2">
      <c r="A145" s="435" t="s">
        <v>148</v>
      </c>
      <c r="B145" s="421" t="s">
        <v>68</v>
      </c>
      <c r="F145" s="422">
        <f t="shared" ref="F145:K145" si="18">F82</f>
        <v>0</v>
      </c>
      <c r="G145" s="422">
        <f t="shared" si="18"/>
        <v>0</v>
      </c>
      <c r="H145" s="422">
        <f t="shared" si="18"/>
        <v>30500</v>
      </c>
      <c r="I145" s="422">
        <f t="shared" si="18"/>
        <v>0</v>
      </c>
      <c r="J145" s="422">
        <f t="shared" si="18"/>
        <v>0</v>
      </c>
      <c r="K145" s="422">
        <f t="shared" si="18"/>
        <v>30500</v>
      </c>
    </row>
    <row r="146" spans="1:11" ht="18" customHeight="1" x14ac:dyDescent="0.2">
      <c r="A146" s="435" t="s">
        <v>150</v>
      </c>
      <c r="B146" s="421" t="s">
        <v>69</v>
      </c>
      <c r="F146" s="422">
        <f t="shared" ref="F146:K146" si="19">F98</f>
        <v>461</v>
      </c>
      <c r="G146" s="422">
        <f t="shared" si="19"/>
        <v>112</v>
      </c>
      <c r="H146" s="422">
        <f t="shared" si="19"/>
        <v>100973.34</v>
      </c>
      <c r="I146" s="422">
        <f t="shared" si="19"/>
        <v>78597.94</v>
      </c>
      <c r="J146" s="422">
        <f t="shared" si="19"/>
        <v>0</v>
      </c>
      <c r="K146" s="422">
        <f t="shared" si="19"/>
        <v>179571.28</v>
      </c>
    </row>
    <row r="147" spans="1:11" ht="18" customHeight="1" x14ac:dyDescent="0.2">
      <c r="A147" s="435" t="s">
        <v>153</v>
      </c>
      <c r="B147" s="421" t="s">
        <v>61</v>
      </c>
      <c r="F147" s="221">
        <f t="shared" ref="F147:K147" si="20">F108</f>
        <v>4160</v>
      </c>
      <c r="G147" s="221">
        <f t="shared" si="20"/>
        <v>0</v>
      </c>
      <c r="H147" s="221">
        <f t="shared" si="20"/>
        <v>417914</v>
      </c>
      <c r="I147" s="221">
        <f t="shared" si="20"/>
        <v>325305.48000000004</v>
      </c>
      <c r="J147" s="221">
        <f t="shared" si="20"/>
        <v>0</v>
      </c>
      <c r="K147" s="221">
        <f t="shared" si="20"/>
        <v>743219.48</v>
      </c>
    </row>
    <row r="148" spans="1:11" ht="18" customHeight="1" x14ac:dyDescent="0.2">
      <c r="A148" s="435" t="s">
        <v>155</v>
      </c>
      <c r="B148" s="421" t="s">
        <v>70</v>
      </c>
      <c r="F148" s="485" t="s">
        <v>73</v>
      </c>
      <c r="G148" s="485" t="s">
        <v>73</v>
      </c>
      <c r="H148" s="486" t="s">
        <v>73</v>
      </c>
      <c r="I148" s="486" t="s">
        <v>73</v>
      </c>
      <c r="J148" s="486" t="s">
        <v>73</v>
      </c>
      <c r="K148" s="423">
        <f>F111</f>
        <v>12147000</v>
      </c>
    </row>
    <row r="149" spans="1:11" ht="18" customHeight="1" x14ac:dyDescent="0.2">
      <c r="A149" s="435" t="s">
        <v>163</v>
      </c>
      <c r="B149" s="421" t="s">
        <v>71</v>
      </c>
      <c r="F149" s="221">
        <f t="shared" ref="F149:K149" si="21">F137</f>
        <v>0</v>
      </c>
      <c r="G149" s="221">
        <f t="shared" si="21"/>
        <v>0</v>
      </c>
      <c r="H149" s="221">
        <f t="shared" si="21"/>
        <v>167000</v>
      </c>
      <c r="I149" s="221">
        <f t="shared" si="21"/>
        <v>0</v>
      </c>
      <c r="J149" s="221">
        <f t="shared" si="21"/>
        <v>0</v>
      </c>
      <c r="K149" s="221">
        <f t="shared" si="21"/>
        <v>167000</v>
      </c>
    </row>
    <row r="150" spans="1:11" ht="18" customHeight="1" x14ac:dyDescent="0.2">
      <c r="A150" s="435" t="s">
        <v>185</v>
      </c>
      <c r="B150" s="421" t="s">
        <v>186</v>
      </c>
      <c r="F150" s="485" t="s">
        <v>73</v>
      </c>
      <c r="G150" s="485" t="s">
        <v>73</v>
      </c>
      <c r="H150" s="221">
        <f>H18</f>
        <v>8898324.9499999993</v>
      </c>
      <c r="I150" s="221">
        <f>I18</f>
        <v>0</v>
      </c>
      <c r="J150" s="221">
        <f>J18</f>
        <v>7520840.4900000002</v>
      </c>
      <c r="K150" s="221">
        <f>K18</f>
        <v>1377484.459999999</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275559</v>
      </c>
      <c r="G152" s="487">
        <f t="shared" si="22"/>
        <v>128879</v>
      </c>
      <c r="H152" s="487">
        <f t="shared" si="22"/>
        <v>79357993.308192581</v>
      </c>
      <c r="I152" s="487">
        <f t="shared" si="22"/>
        <v>2623913.08</v>
      </c>
      <c r="J152" s="487">
        <f t="shared" si="22"/>
        <v>15564840.49</v>
      </c>
      <c r="K152" s="487">
        <f t="shared" si="22"/>
        <v>78564065.89819257</v>
      </c>
    </row>
    <row r="154" spans="1:11" ht="18" customHeight="1" x14ac:dyDescent="0.2">
      <c r="A154" s="455" t="s">
        <v>168</v>
      </c>
      <c r="B154" s="421" t="s">
        <v>28</v>
      </c>
      <c r="F154" s="140">
        <f>K152/F121</f>
        <v>0.27485425676059799</v>
      </c>
    </row>
    <row r="155" spans="1:11" ht="18" customHeight="1" x14ac:dyDescent="0.2">
      <c r="A155" s="455" t="s">
        <v>169</v>
      </c>
      <c r="B155" s="421" t="s">
        <v>72</v>
      </c>
      <c r="F155" s="140">
        <f>K152/F127</f>
        <v>-143.10394516974966</v>
      </c>
      <c r="G155" s="421"/>
    </row>
    <row r="156" spans="1:11" ht="18" customHeight="1" x14ac:dyDescent="0.2">
      <c r="G156" s="421"/>
    </row>
  </sheetData>
  <sheetProtection algorithmName="SHA-512" hashValue="weONq2v36Yc9tGCX/KxLoldMNoEt91HWlk1ED1SokJH3lay5YvQtKFX77lCXnuQ3I1Pvxxlg78q71w7pk8udJg==" saltValue="dlaHQlH9PSFkjaMnJrX1pA==" spinCount="100000" sheet="1" objects="1" scenarios="1"/>
  <mergeCells count="31">
    <mergeCell ref="B62:D62"/>
    <mergeCell ref="B31:D31"/>
    <mergeCell ref="B103:C103"/>
    <mergeCell ref="B96:D96"/>
    <mergeCell ref="B95:D95"/>
    <mergeCell ref="B94:D94"/>
    <mergeCell ref="B52:C52"/>
    <mergeCell ref="B90:C90"/>
    <mergeCell ref="B53:D53"/>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56"/>
  <sheetViews>
    <sheetView showGridLines="0" zoomScale="80" zoomScaleNormal="80" zoomScaleSheetLayoutView="80" workbookViewId="0">
      <selection activeCell="C16" sqref="C16"/>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226</v>
      </c>
      <c r="D5" s="437"/>
      <c r="E5" s="437"/>
      <c r="F5" s="437"/>
      <c r="G5" s="438"/>
    </row>
    <row r="6" spans="1:11" ht="18" customHeight="1" x14ac:dyDescent="0.2">
      <c r="B6" s="435" t="s">
        <v>3</v>
      </c>
      <c r="C6" s="439">
        <v>4</v>
      </c>
      <c r="D6" s="440"/>
      <c r="E6" s="440"/>
      <c r="F6" s="440"/>
      <c r="G6" s="441"/>
    </row>
    <row r="7" spans="1:11" ht="18" customHeight="1" x14ac:dyDescent="0.2">
      <c r="B7" s="435" t="s">
        <v>4</v>
      </c>
      <c r="C7" s="492">
        <v>3461</v>
      </c>
      <c r="D7" s="493"/>
      <c r="E7" s="493"/>
      <c r="F7" s="493"/>
      <c r="G7" s="494"/>
    </row>
    <row r="9" spans="1:11" ht="18" customHeight="1" x14ac:dyDescent="0.2">
      <c r="B9" s="435" t="s">
        <v>1</v>
      </c>
      <c r="C9" s="436" t="s">
        <v>667</v>
      </c>
      <c r="D9" s="437"/>
      <c r="E9" s="437"/>
      <c r="F9" s="437"/>
      <c r="G9" s="438"/>
    </row>
    <row r="10" spans="1:11" ht="18" customHeight="1" x14ac:dyDescent="0.2">
      <c r="B10" s="435" t="s">
        <v>2</v>
      </c>
      <c r="C10" s="445" t="s">
        <v>283</v>
      </c>
      <c r="D10" s="446"/>
      <c r="E10" s="446"/>
      <c r="F10" s="446"/>
      <c r="G10" s="447"/>
    </row>
    <row r="11" spans="1:11" ht="18" customHeight="1" x14ac:dyDescent="0.2">
      <c r="B11" s="435" t="s">
        <v>32</v>
      </c>
      <c r="C11" s="495" t="s">
        <v>284</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10608056.67</v>
      </c>
      <c r="I18" s="133">
        <v>0</v>
      </c>
      <c r="J18" s="118">
        <v>8965901.1799999997</v>
      </c>
      <c r="K18" s="118">
        <f>(H18+I18)-J18</f>
        <v>1642155.4900000002</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5273.7</v>
      </c>
      <c r="G21" s="221">
        <v>165504</v>
      </c>
      <c r="H21" s="118">
        <v>1521015</v>
      </c>
      <c r="I21" s="133">
        <v>355550</v>
      </c>
      <c r="J21" s="118">
        <v>282929</v>
      </c>
      <c r="K21" s="118">
        <f t="shared" ref="K21:K34" si="0">(H21+I21)-J21</f>
        <v>1593636</v>
      </c>
    </row>
    <row r="22" spans="1:11" ht="18" customHeight="1" x14ac:dyDescent="0.2">
      <c r="A22" s="435" t="s">
        <v>76</v>
      </c>
      <c r="B22" s="259" t="s">
        <v>6</v>
      </c>
      <c r="F22" s="221">
        <v>285.5</v>
      </c>
      <c r="G22" s="221">
        <v>726</v>
      </c>
      <c r="H22" s="118">
        <v>11001</v>
      </c>
      <c r="I22" s="133">
        <v>3105</v>
      </c>
      <c r="J22" s="118">
        <v>1500</v>
      </c>
      <c r="K22" s="118">
        <f t="shared" si="0"/>
        <v>12606</v>
      </c>
    </row>
    <row r="23" spans="1:11" ht="18" customHeight="1" x14ac:dyDescent="0.2">
      <c r="A23" s="435" t="s">
        <v>77</v>
      </c>
      <c r="B23" s="259" t="s">
        <v>43</v>
      </c>
      <c r="F23" s="221"/>
      <c r="G23" s="221"/>
      <c r="H23" s="118"/>
      <c r="I23" s="133">
        <f t="shared" ref="I23:I34" si="1">H23*F$114</f>
        <v>0</v>
      </c>
      <c r="J23" s="118"/>
      <c r="K23" s="118">
        <f t="shared" si="0"/>
        <v>0</v>
      </c>
    </row>
    <row r="24" spans="1:11" ht="18" customHeight="1" x14ac:dyDescent="0.2">
      <c r="A24" s="435" t="s">
        <v>78</v>
      </c>
      <c r="B24" s="259" t="s">
        <v>44</v>
      </c>
      <c r="F24" s="221">
        <v>120</v>
      </c>
      <c r="G24" s="221">
        <v>434</v>
      </c>
      <c r="H24" s="118">
        <v>3430</v>
      </c>
      <c r="I24" s="133">
        <v>967</v>
      </c>
      <c r="J24" s="118">
        <v>0</v>
      </c>
      <c r="K24" s="118">
        <f t="shared" si="0"/>
        <v>4397</v>
      </c>
    </row>
    <row r="25" spans="1:11" ht="18" customHeight="1" x14ac:dyDescent="0.2">
      <c r="A25" s="435" t="s">
        <v>79</v>
      </c>
      <c r="B25" s="259" t="s">
        <v>5</v>
      </c>
      <c r="F25" s="221"/>
      <c r="G25" s="221"/>
      <c r="H25" s="118"/>
      <c r="I25" s="133">
        <f t="shared" si="1"/>
        <v>0</v>
      </c>
      <c r="J25" s="118"/>
      <c r="K25" s="118">
        <f t="shared" si="0"/>
        <v>0</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20653.400000000001</v>
      </c>
      <c r="G29" s="221">
        <v>9978</v>
      </c>
      <c r="H29" s="118">
        <v>1503928</v>
      </c>
      <c r="I29" s="133">
        <v>257044</v>
      </c>
      <c r="J29" s="118">
        <v>0</v>
      </c>
      <c r="K29" s="118">
        <f t="shared" si="0"/>
        <v>1760972</v>
      </c>
    </row>
    <row r="30" spans="1:11" ht="18" customHeight="1" x14ac:dyDescent="0.2">
      <c r="A30" s="435" t="s">
        <v>84</v>
      </c>
      <c r="B30" s="456" t="s">
        <v>521</v>
      </c>
      <c r="C30" s="457"/>
      <c r="D30" s="458"/>
      <c r="F30" s="221">
        <v>6734.6</v>
      </c>
      <c r="G30" s="221">
        <v>18139</v>
      </c>
      <c r="H30" s="118">
        <v>2718050</v>
      </c>
      <c r="I30" s="133">
        <v>82974</v>
      </c>
      <c r="J30" s="118">
        <v>2673166</v>
      </c>
      <c r="K30" s="118">
        <f t="shared" si="0"/>
        <v>127858</v>
      </c>
    </row>
    <row r="31" spans="1:11" ht="18" customHeight="1" x14ac:dyDescent="0.2">
      <c r="A31" s="435" t="s">
        <v>133</v>
      </c>
      <c r="B31" s="456" t="s">
        <v>480</v>
      </c>
      <c r="C31" s="457"/>
      <c r="D31" s="458"/>
      <c r="F31" s="221">
        <v>240</v>
      </c>
      <c r="G31" s="221">
        <v>1560</v>
      </c>
      <c r="H31" s="118">
        <v>315444</v>
      </c>
      <c r="I31" s="133">
        <v>88957</v>
      </c>
      <c r="J31" s="118">
        <v>0</v>
      </c>
      <c r="K31" s="118">
        <f t="shared" si="0"/>
        <v>404401</v>
      </c>
    </row>
    <row r="32" spans="1:11" ht="18" customHeight="1" x14ac:dyDescent="0.2">
      <c r="A32" s="435" t="s">
        <v>134</v>
      </c>
      <c r="B32" s="459" t="s">
        <v>537</v>
      </c>
      <c r="C32" s="460"/>
      <c r="D32" s="461"/>
      <c r="F32" s="221">
        <v>3679</v>
      </c>
      <c r="G32" s="255">
        <v>12000</v>
      </c>
      <c r="H32" s="118">
        <v>299510</v>
      </c>
      <c r="I32" s="133">
        <v>84457</v>
      </c>
      <c r="J32" s="118">
        <v>10</v>
      </c>
      <c r="K32" s="118">
        <f t="shared" si="0"/>
        <v>383957</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36986.200000000004</v>
      </c>
      <c r="G36" s="221">
        <f t="shared" si="2"/>
        <v>208341</v>
      </c>
      <c r="H36" s="221">
        <f t="shared" si="2"/>
        <v>6372378</v>
      </c>
      <c r="I36" s="118">
        <f t="shared" si="2"/>
        <v>873054</v>
      </c>
      <c r="J36" s="118">
        <f t="shared" si="2"/>
        <v>2957605</v>
      </c>
      <c r="K36" s="118">
        <f t="shared" si="2"/>
        <v>4287827</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1698.4</v>
      </c>
      <c r="G40" s="221">
        <v>0</v>
      </c>
      <c r="H40" s="118">
        <v>2459722</v>
      </c>
      <c r="I40" s="133">
        <v>693641</v>
      </c>
      <c r="J40" s="118">
        <v>0</v>
      </c>
      <c r="K40" s="118">
        <f t="shared" ref="K40:K47" si="3">(H40+I40)-J40</f>
        <v>3153363</v>
      </c>
    </row>
    <row r="41" spans="1:11" ht="18" customHeight="1" x14ac:dyDescent="0.2">
      <c r="A41" s="435" t="s">
        <v>88</v>
      </c>
      <c r="B41" s="465" t="s">
        <v>50</v>
      </c>
      <c r="C41" s="466"/>
      <c r="F41" s="221">
        <v>788</v>
      </c>
      <c r="G41" s="221">
        <v>420</v>
      </c>
      <c r="H41" s="118">
        <v>42040</v>
      </c>
      <c r="I41" s="133">
        <v>11856</v>
      </c>
      <c r="J41" s="118">
        <v>0</v>
      </c>
      <c r="K41" s="118">
        <f t="shared" si="3"/>
        <v>53896</v>
      </c>
    </row>
    <row r="42" spans="1:11" ht="18" customHeight="1" x14ac:dyDescent="0.2">
      <c r="A42" s="435" t="s">
        <v>89</v>
      </c>
      <c r="B42" s="419" t="s">
        <v>11</v>
      </c>
      <c r="F42" s="221">
        <v>140</v>
      </c>
      <c r="G42" s="221">
        <v>2</v>
      </c>
      <c r="H42" s="118">
        <v>5532</v>
      </c>
      <c r="I42" s="133">
        <v>1560</v>
      </c>
      <c r="J42" s="118">
        <v>0</v>
      </c>
      <c r="K42" s="118">
        <f t="shared" si="3"/>
        <v>7092</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2626.4</v>
      </c>
      <c r="G49" s="409">
        <f t="shared" si="4"/>
        <v>422</v>
      </c>
      <c r="H49" s="118">
        <f t="shared" si="4"/>
        <v>2507294</v>
      </c>
      <c r="I49" s="118">
        <f t="shared" si="4"/>
        <v>707057</v>
      </c>
      <c r="J49" s="118">
        <f t="shared" si="4"/>
        <v>0</v>
      </c>
      <c r="K49" s="118">
        <f t="shared" si="4"/>
        <v>3214351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324</v>
      </c>
      <c r="C53" s="411"/>
      <c r="D53" s="412"/>
      <c r="F53" s="221">
        <v>0</v>
      </c>
      <c r="G53" s="221">
        <v>0</v>
      </c>
      <c r="H53" s="118">
        <v>4283560</v>
      </c>
      <c r="I53" s="133">
        <v>1207964</v>
      </c>
      <c r="J53" s="118">
        <v>0</v>
      </c>
      <c r="K53" s="118">
        <f t="shared" ref="K53:K62" si="5">(H53+I53)-J53</f>
        <v>5491524</v>
      </c>
    </row>
    <row r="54" spans="1:11" ht="18" customHeight="1" x14ac:dyDescent="0.2">
      <c r="A54" s="435" t="s">
        <v>93</v>
      </c>
      <c r="B54" s="420" t="s">
        <v>668</v>
      </c>
      <c r="C54" s="414"/>
      <c r="D54" s="415"/>
      <c r="F54" s="221">
        <v>0</v>
      </c>
      <c r="G54" s="221">
        <v>98263</v>
      </c>
      <c r="H54" s="118">
        <v>112033</v>
      </c>
      <c r="I54" s="133">
        <v>2486394</v>
      </c>
      <c r="J54" s="118">
        <v>0</v>
      </c>
      <c r="K54" s="118">
        <f t="shared" si="5"/>
        <v>2598427</v>
      </c>
    </row>
    <row r="55" spans="1:11" ht="18" customHeight="1" x14ac:dyDescent="0.2">
      <c r="A55" s="435" t="s">
        <v>94</v>
      </c>
      <c r="B55" s="418" t="s">
        <v>326</v>
      </c>
      <c r="C55" s="417"/>
      <c r="D55" s="412"/>
      <c r="F55" s="221">
        <v>5284</v>
      </c>
      <c r="G55" s="221">
        <v>2230</v>
      </c>
      <c r="H55" s="118">
        <v>1405702</v>
      </c>
      <c r="I55" s="133">
        <v>394304</v>
      </c>
      <c r="J55" s="118">
        <v>368603</v>
      </c>
      <c r="K55" s="118">
        <f t="shared" si="5"/>
        <v>1431403</v>
      </c>
    </row>
    <row r="56" spans="1:11" ht="18" customHeight="1" x14ac:dyDescent="0.2">
      <c r="A56" s="435" t="s">
        <v>95</v>
      </c>
      <c r="B56" s="418" t="s">
        <v>333</v>
      </c>
      <c r="C56" s="417"/>
      <c r="D56" s="412"/>
      <c r="F56" s="221">
        <v>0</v>
      </c>
      <c r="G56" s="221">
        <v>1540</v>
      </c>
      <c r="H56" s="118">
        <v>667581</v>
      </c>
      <c r="I56" s="133">
        <v>188258</v>
      </c>
      <c r="J56" s="118">
        <v>730752</v>
      </c>
      <c r="K56" s="118">
        <f t="shared" si="5"/>
        <v>125087</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5284</v>
      </c>
      <c r="G64" s="221">
        <f t="shared" si="6"/>
        <v>102033</v>
      </c>
      <c r="H64" s="118">
        <f t="shared" si="6"/>
        <v>6468876</v>
      </c>
      <c r="I64" s="118">
        <f t="shared" si="6"/>
        <v>4276920</v>
      </c>
      <c r="J64" s="118">
        <f t="shared" si="6"/>
        <v>1099355</v>
      </c>
      <c r="K64" s="118">
        <f t="shared" si="6"/>
        <v>9646441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4372.6000000000004</v>
      </c>
      <c r="G68" s="122">
        <v>1285</v>
      </c>
      <c r="H68" s="122">
        <v>231558</v>
      </c>
      <c r="I68" s="133">
        <v>65303</v>
      </c>
      <c r="J68" s="122">
        <v>13625</v>
      </c>
      <c r="K68" s="118">
        <f>(H68+I68)-J68</f>
        <v>283236</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4372.6000000000004</v>
      </c>
      <c r="G74" s="122">
        <f t="shared" si="7"/>
        <v>1285</v>
      </c>
      <c r="H74" s="122">
        <f t="shared" si="7"/>
        <v>231558</v>
      </c>
      <c r="I74" s="133">
        <f t="shared" si="7"/>
        <v>65303</v>
      </c>
      <c r="J74" s="122">
        <f t="shared" si="7"/>
        <v>13625</v>
      </c>
      <c r="K74" s="118">
        <f t="shared" si="7"/>
        <v>283236</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0</v>
      </c>
      <c r="G79" s="221">
        <v>0</v>
      </c>
      <c r="H79" s="118">
        <v>5500</v>
      </c>
      <c r="I79" s="133">
        <v>0</v>
      </c>
      <c r="J79" s="118">
        <v>0</v>
      </c>
      <c r="K79" s="118">
        <f>(H79+I79)-J79</f>
        <v>5500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5500</v>
      </c>
      <c r="I82" s="118">
        <f t="shared" si="8"/>
        <v>0</v>
      </c>
      <c r="J82" s="118">
        <f t="shared" si="8"/>
        <v>0</v>
      </c>
      <c r="K82" s="118">
        <f t="shared" si="8"/>
        <v>5500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v>0</v>
      </c>
      <c r="G87" s="221">
        <v>24</v>
      </c>
      <c r="H87" s="118">
        <v>19620</v>
      </c>
      <c r="I87" s="133">
        <v>5532</v>
      </c>
      <c r="J87" s="118">
        <v>0</v>
      </c>
      <c r="K87" s="118">
        <f t="shared" si="10"/>
        <v>25152</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v>0</v>
      </c>
      <c r="G93" s="221">
        <v>10</v>
      </c>
      <c r="H93" s="118">
        <v>16169</v>
      </c>
      <c r="I93" s="133">
        <v>4560</v>
      </c>
      <c r="J93" s="118"/>
      <c r="K93" s="118">
        <f t="shared" si="10"/>
        <v>20729</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0</v>
      </c>
      <c r="G98" s="221">
        <f t="shared" si="11"/>
        <v>34</v>
      </c>
      <c r="H98" s="221">
        <f t="shared" si="11"/>
        <v>35789</v>
      </c>
      <c r="I98" s="221">
        <f t="shared" si="11"/>
        <v>10092</v>
      </c>
      <c r="J98" s="221">
        <f t="shared" si="11"/>
        <v>0</v>
      </c>
      <c r="K98" s="221">
        <f t="shared" si="11"/>
        <v>45881</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3844</v>
      </c>
      <c r="G102" s="221">
        <v>0</v>
      </c>
      <c r="H102" s="118">
        <v>273596</v>
      </c>
      <c r="I102" s="133">
        <v>77158</v>
      </c>
      <c r="J102" s="118">
        <v>0</v>
      </c>
      <c r="K102" s="118">
        <f>(H102+I102)-J102</f>
        <v>350754</v>
      </c>
    </row>
    <row r="103" spans="1:11" ht="18" customHeight="1" x14ac:dyDescent="0.2">
      <c r="A103" s="435" t="s">
        <v>132</v>
      </c>
      <c r="B103" s="465" t="s">
        <v>62</v>
      </c>
      <c r="C103" s="465"/>
      <c r="F103" s="221">
        <v>69</v>
      </c>
      <c r="G103" s="221">
        <v>26</v>
      </c>
      <c r="H103" s="118">
        <v>30848</v>
      </c>
      <c r="I103" s="133">
        <v>1650</v>
      </c>
      <c r="J103" s="118">
        <v>0</v>
      </c>
      <c r="K103" s="118">
        <f>(H103+I103)-J103</f>
        <v>32498</v>
      </c>
    </row>
    <row r="104" spans="1:11" ht="18" customHeight="1" x14ac:dyDescent="0.2">
      <c r="A104" s="435" t="s">
        <v>128</v>
      </c>
      <c r="B104" s="418" t="s">
        <v>327</v>
      </c>
      <c r="C104" s="417"/>
      <c r="D104" s="412"/>
      <c r="F104" s="221">
        <v>783</v>
      </c>
      <c r="G104" s="221">
        <v>0</v>
      </c>
      <c r="H104" s="118">
        <v>211738</v>
      </c>
      <c r="I104" s="133">
        <v>12102</v>
      </c>
      <c r="J104" s="118">
        <v>0</v>
      </c>
      <c r="K104" s="118">
        <f>(H104+I104)-J104</f>
        <v>223840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4696</v>
      </c>
      <c r="G108" s="221">
        <f t="shared" si="12"/>
        <v>26</v>
      </c>
      <c r="H108" s="118">
        <f t="shared" si="12"/>
        <v>516182</v>
      </c>
      <c r="I108" s="118">
        <f t="shared" si="12"/>
        <v>90910</v>
      </c>
      <c r="J108" s="118">
        <f t="shared" si="12"/>
        <v>0</v>
      </c>
      <c r="K108" s="118">
        <f t="shared" si="12"/>
        <v>607092</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31485836</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0.28199999999999997</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456522669.00999999</v>
      </c>
    </row>
    <row r="118" spans="1:6" ht="18" customHeight="1" x14ac:dyDescent="0.2">
      <c r="A118" s="435" t="s">
        <v>173</v>
      </c>
      <c r="B118" s="259" t="s">
        <v>18</v>
      </c>
      <c r="F118" s="118">
        <v>12126142.189999999</v>
      </c>
    </row>
    <row r="119" spans="1:6" ht="18" customHeight="1" x14ac:dyDescent="0.2">
      <c r="A119" s="435" t="s">
        <v>174</v>
      </c>
      <c r="B119" s="421" t="s">
        <v>19</v>
      </c>
      <c r="F119" s="118">
        <f>SUM(F117:F118)</f>
        <v>468648811.19999999</v>
      </c>
    </row>
    <row r="120" spans="1:6" ht="18" customHeight="1" x14ac:dyDescent="0.2">
      <c r="A120" s="435"/>
      <c r="B120" s="421"/>
    </row>
    <row r="121" spans="1:6" ht="18" customHeight="1" x14ac:dyDescent="0.2">
      <c r="A121" s="435" t="s">
        <v>167</v>
      </c>
      <c r="B121" s="421" t="s">
        <v>36</v>
      </c>
      <c r="F121" s="118">
        <v>413981550</v>
      </c>
    </row>
    <row r="122" spans="1:6" ht="18" customHeight="1" x14ac:dyDescent="0.2">
      <c r="A122" s="435"/>
    </row>
    <row r="123" spans="1:6" ht="18" customHeight="1" x14ac:dyDescent="0.2">
      <c r="A123" s="435" t="s">
        <v>175</v>
      </c>
      <c r="B123" s="421" t="s">
        <v>20</v>
      </c>
      <c r="F123" s="118">
        <v>54972977.869999997</v>
      </c>
    </row>
    <row r="124" spans="1:6" ht="18" customHeight="1" x14ac:dyDescent="0.2">
      <c r="A124" s="435"/>
    </row>
    <row r="125" spans="1:6" ht="18" customHeight="1" x14ac:dyDescent="0.2">
      <c r="A125" s="435" t="s">
        <v>176</v>
      </c>
      <c r="B125" s="421" t="s">
        <v>21</v>
      </c>
      <c r="F125" s="118">
        <v>7850540.6799999997</v>
      </c>
    </row>
    <row r="126" spans="1:6" ht="18" customHeight="1" x14ac:dyDescent="0.2">
      <c r="A126" s="435"/>
    </row>
    <row r="127" spans="1:6" ht="18" customHeight="1" x14ac:dyDescent="0.2">
      <c r="A127" s="435" t="s">
        <v>177</v>
      </c>
      <c r="B127" s="421" t="s">
        <v>22</v>
      </c>
      <c r="F127" s="118">
        <v>62823518.549999997</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36986.200000000004</v>
      </c>
      <c r="G141" s="422">
        <f t="shared" si="14"/>
        <v>208341</v>
      </c>
      <c r="H141" s="422">
        <f t="shared" si="14"/>
        <v>6372378</v>
      </c>
      <c r="I141" s="422">
        <f t="shared" si="14"/>
        <v>873054</v>
      </c>
      <c r="J141" s="422">
        <f t="shared" si="14"/>
        <v>2957605</v>
      </c>
      <c r="K141" s="422">
        <f t="shared" si="14"/>
        <v>4287827</v>
      </c>
    </row>
    <row r="142" spans="1:11" ht="18" customHeight="1" x14ac:dyDescent="0.2">
      <c r="A142" s="435" t="s">
        <v>142</v>
      </c>
      <c r="B142" s="421" t="s">
        <v>65</v>
      </c>
      <c r="F142" s="422">
        <f t="shared" ref="F142:K142" si="15">F49</f>
        <v>2626.4</v>
      </c>
      <c r="G142" s="422">
        <f t="shared" si="15"/>
        <v>422</v>
      </c>
      <c r="H142" s="422">
        <f t="shared" si="15"/>
        <v>2507294</v>
      </c>
      <c r="I142" s="422">
        <f t="shared" si="15"/>
        <v>707057</v>
      </c>
      <c r="J142" s="422">
        <f t="shared" si="15"/>
        <v>0</v>
      </c>
      <c r="K142" s="422">
        <f t="shared" si="15"/>
        <v>3214351</v>
      </c>
    </row>
    <row r="143" spans="1:11" ht="18" customHeight="1" x14ac:dyDescent="0.2">
      <c r="A143" s="435" t="s">
        <v>144</v>
      </c>
      <c r="B143" s="421" t="s">
        <v>66</v>
      </c>
      <c r="F143" s="422">
        <f t="shared" ref="F143:K143" si="16">F64</f>
        <v>5284</v>
      </c>
      <c r="G143" s="422">
        <f t="shared" si="16"/>
        <v>102033</v>
      </c>
      <c r="H143" s="422">
        <f t="shared" si="16"/>
        <v>6468876</v>
      </c>
      <c r="I143" s="422">
        <f t="shared" si="16"/>
        <v>4276920</v>
      </c>
      <c r="J143" s="422">
        <f t="shared" si="16"/>
        <v>1099355</v>
      </c>
      <c r="K143" s="422">
        <f t="shared" si="16"/>
        <v>9646441</v>
      </c>
    </row>
    <row r="144" spans="1:11" ht="18" customHeight="1" x14ac:dyDescent="0.2">
      <c r="A144" s="435" t="s">
        <v>146</v>
      </c>
      <c r="B144" s="421" t="s">
        <v>67</v>
      </c>
      <c r="F144" s="422">
        <f t="shared" ref="F144:K144" si="17">F74</f>
        <v>4372.6000000000004</v>
      </c>
      <c r="G144" s="422">
        <f t="shared" si="17"/>
        <v>1285</v>
      </c>
      <c r="H144" s="422">
        <f t="shared" si="17"/>
        <v>231558</v>
      </c>
      <c r="I144" s="422">
        <f t="shared" si="17"/>
        <v>65303</v>
      </c>
      <c r="J144" s="422">
        <f t="shared" si="17"/>
        <v>13625</v>
      </c>
      <c r="K144" s="422">
        <f t="shared" si="17"/>
        <v>283236</v>
      </c>
    </row>
    <row r="145" spans="1:11" ht="18" customHeight="1" x14ac:dyDescent="0.2">
      <c r="A145" s="435" t="s">
        <v>148</v>
      </c>
      <c r="B145" s="421" t="s">
        <v>68</v>
      </c>
      <c r="F145" s="422">
        <f t="shared" ref="F145:K145" si="18">F82</f>
        <v>0</v>
      </c>
      <c r="G145" s="422">
        <f t="shared" si="18"/>
        <v>0</v>
      </c>
      <c r="H145" s="422">
        <f t="shared" si="18"/>
        <v>5500</v>
      </c>
      <c r="I145" s="422">
        <f t="shared" si="18"/>
        <v>0</v>
      </c>
      <c r="J145" s="422">
        <f t="shared" si="18"/>
        <v>0</v>
      </c>
      <c r="K145" s="422">
        <f t="shared" si="18"/>
        <v>5500</v>
      </c>
    </row>
    <row r="146" spans="1:11" ht="18" customHeight="1" x14ac:dyDescent="0.2">
      <c r="A146" s="435" t="s">
        <v>150</v>
      </c>
      <c r="B146" s="421" t="s">
        <v>69</v>
      </c>
      <c r="F146" s="422">
        <f t="shared" ref="F146:K146" si="19">F98</f>
        <v>0</v>
      </c>
      <c r="G146" s="422">
        <f t="shared" si="19"/>
        <v>34</v>
      </c>
      <c r="H146" s="422">
        <f t="shared" si="19"/>
        <v>35789</v>
      </c>
      <c r="I146" s="422">
        <f t="shared" si="19"/>
        <v>10092</v>
      </c>
      <c r="J146" s="422">
        <f t="shared" si="19"/>
        <v>0</v>
      </c>
      <c r="K146" s="422">
        <f t="shared" si="19"/>
        <v>45881</v>
      </c>
    </row>
    <row r="147" spans="1:11" ht="18" customHeight="1" x14ac:dyDescent="0.2">
      <c r="A147" s="435" t="s">
        <v>153</v>
      </c>
      <c r="B147" s="421" t="s">
        <v>61</v>
      </c>
      <c r="F147" s="221">
        <f t="shared" ref="F147:K147" si="20">F108</f>
        <v>4696</v>
      </c>
      <c r="G147" s="221">
        <f t="shared" si="20"/>
        <v>26</v>
      </c>
      <c r="H147" s="221">
        <f t="shared" si="20"/>
        <v>516182</v>
      </c>
      <c r="I147" s="221">
        <f t="shared" si="20"/>
        <v>90910</v>
      </c>
      <c r="J147" s="221">
        <f t="shared" si="20"/>
        <v>0</v>
      </c>
      <c r="K147" s="221">
        <f t="shared" si="20"/>
        <v>607092</v>
      </c>
    </row>
    <row r="148" spans="1:11" ht="18" customHeight="1" x14ac:dyDescent="0.2">
      <c r="A148" s="435" t="s">
        <v>155</v>
      </c>
      <c r="B148" s="421" t="s">
        <v>70</v>
      </c>
      <c r="F148" s="485" t="s">
        <v>73</v>
      </c>
      <c r="G148" s="485" t="s">
        <v>73</v>
      </c>
      <c r="H148" s="486" t="s">
        <v>73</v>
      </c>
      <c r="I148" s="486" t="s">
        <v>73</v>
      </c>
      <c r="J148" s="486" t="s">
        <v>73</v>
      </c>
      <c r="K148" s="423">
        <f>F111</f>
        <v>31485836</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10608056.67</v>
      </c>
      <c r="I150" s="221">
        <f>I18</f>
        <v>0</v>
      </c>
      <c r="J150" s="221">
        <f>J18</f>
        <v>8965901.1799999997</v>
      </c>
      <c r="K150" s="221">
        <f>K18</f>
        <v>1642155.4900000002</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53965.200000000004</v>
      </c>
      <c r="G152" s="487">
        <f t="shared" si="22"/>
        <v>312141</v>
      </c>
      <c r="H152" s="487">
        <f t="shared" si="22"/>
        <v>26745633.670000002</v>
      </c>
      <c r="I152" s="487">
        <f t="shared" si="22"/>
        <v>6023336</v>
      </c>
      <c r="J152" s="487">
        <f t="shared" si="22"/>
        <v>13036486.18</v>
      </c>
      <c r="K152" s="487">
        <f t="shared" si="22"/>
        <v>51218319.490000002</v>
      </c>
    </row>
    <row r="154" spans="1:11" ht="18" customHeight="1" x14ac:dyDescent="0.2">
      <c r="A154" s="455" t="s">
        <v>168</v>
      </c>
      <c r="B154" s="421" t="s">
        <v>28</v>
      </c>
      <c r="F154" s="140">
        <f>K152/F121</f>
        <v>0.12372126122528891</v>
      </c>
    </row>
    <row r="155" spans="1:11" ht="18" customHeight="1" x14ac:dyDescent="0.2">
      <c r="A155" s="455" t="s">
        <v>169</v>
      </c>
      <c r="B155" s="421" t="s">
        <v>72</v>
      </c>
      <c r="F155" s="140">
        <f>K152/F127</f>
        <v>0.81527301673236197</v>
      </c>
      <c r="G155" s="421"/>
    </row>
    <row r="156" spans="1:11" ht="18" customHeight="1" x14ac:dyDescent="0.2">
      <c r="G156" s="421"/>
    </row>
  </sheetData>
  <sheetProtection algorithmName="SHA-512" hashValue="ksz6rTPWxhWto8/rXsANozPiHNAJAParBedffIQbZKtGSWbZ6PX+YZizEdRxgfHlSnw5dfg8+3sa2a67ZRPk/Q==" saltValue="mn5q62m46vWKieppatjBAQ==" spinCount="100000" sheet="1" objects="1" scenarios="1"/>
  <mergeCells count="34">
    <mergeCell ref="B45:D45"/>
    <mergeCell ref="B41:C41"/>
    <mergeCell ref="B44:D44"/>
    <mergeCell ref="B13:H13"/>
    <mergeCell ref="C5:G5"/>
    <mergeCell ref="C6:G6"/>
    <mergeCell ref="C7:G7"/>
    <mergeCell ref="C9:G9"/>
    <mergeCell ref="C10:G10"/>
    <mergeCell ref="B30:D30"/>
    <mergeCell ref="B57:D57"/>
    <mergeCell ref="B94:D94"/>
    <mergeCell ref="B52:C52"/>
    <mergeCell ref="B90:C90"/>
    <mergeCell ref="B53:D53"/>
    <mergeCell ref="B55:D55"/>
    <mergeCell ref="B56:D56"/>
    <mergeCell ref="B59:D59"/>
    <mergeCell ref="B134:D134"/>
    <mergeCell ref="B135:D135"/>
    <mergeCell ref="B133:D133"/>
    <mergeCell ref="B104:D104"/>
    <mergeCell ref="D2:H2"/>
    <mergeCell ref="B46:D46"/>
    <mergeCell ref="B47:D47"/>
    <mergeCell ref="B34:D34"/>
    <mergeCell ref="C11:G11"/>
    <mergeCell ref="B105:D105"/>
    <mergeCell ref="B106:D106"/>
    <mergeCell ref="B62:D62"/>
    <mergeCell ref="B31:D31"/>
    <mergeCell ref="B103:C103"/>
    <mergeCell ref="B96:D96"/>
    <mergeCell ref="B95:D95"/>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3" manualBreakCount="3">
    <brk id="37" max="16383" man="1"/>
    <brk id="74" max="16383" man="1"/>
    <brk id="10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56"/>
  <sheetViews>
    <sheetView showGridLines="0" zoomScale="80" zoomScaleNormal="80" zoomScaleSheetLayoutView="10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640</v>
      </c>
      <c r="D5" s="437"/>
      <c r="E5" s="437"/>
      <c r="F5" s="437"/>
      <c r="G5" s="438"/>
    </row>
    <row r="6" spans="1:11" ht="18" customHeight="1" x14ac:dyDescent="0.2">
      <c r="B6" s="435" t="s">
        <v>3</v>
      </c>
      <c r="C6" s="439" t="s">
        <v>481</v>
      </c>
      <c r="D6" s="440"/>
      <c r="E6" s="440"/>
      <c r="F6" s="440"/>
      <c r="G6" s="441"/>
    </row>
    <row r="7" spans="1:11" ht="18" customHeight="1" x14ac:dyDescent="0.2">
      <c r="B7" s="435" t="s">
        <v>4</v>
      </c>
      <c r="C7" s="496" t="s">
        <v>641</v>
      </c>
      <c r="D7" s="493"/>
      <c r="E7" s="493"/>
      <c r="F7" s="493"/>
      <c r="G7" s="494"/>
    </row>
    <row r="9" spans="1:11" ht="18" customHeight="1" x14ac:dyDescent="0.2">
      <c r="B9" s="435" t="s">
        <v>1</v>
      </c>
      <c r="C9" s="436" t="s">
        <v>642</v>
      </c>
      <c r="D9" s="437"/>
      <c r="E9" s="437"/>
      <c r="F9" s="437"/>
      <c r="G9" s="438"/>
    </row>
    <row r="10" spans="1:11" ht="18" customHeight="1" x14ac:dyDescent="0.2">
      <c r="B10" s="435" t="s">
        <v>2</v>
      </c>
      <c r="C10" s="497" t="s">
        <v>282</v>
      </c>
      <c r="D10" s="446"/>
      <c r="E10" s="446"/>
      <c r="F10" s="446"/>
      <c r="G10" s="447"/>
    </row>
    <row r="11" spans="1:11" ht="18" customHeight="1" x14ac:dyDescent="0.2">
      <c r="B11" s="435" t="s">
        <v>32</v>
      </c>
      <c r="C11" s="495" t="s">
        <v>643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7561911</v>
      </c>
      <c r="I18" s="133">
        <v>0</v>
      </c>
      <c r="J18" s="118">
        <v>6391307</v>
      </c>
      <c r="K18" s="118">
        <f>(H18+I18)-J18</f>
        <v>1170604</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27455</v>
      </c>
      <c r="G21" s="221">
        <v>14736</v>
      </c>
      <c r="H21" s="118">
        <v>1600045</v>
      </c>
      <c r="I21" s="133">
        <f t="shared" ref="I21:I34" si="0">H21*F$114</f>
        <v>1166592.8095</v>
      </c>
      <c r="J21" s="118">
        <v>57543</v>
      </c>
      <c r="K21" s="118">
        <f t="shared" ref="K21:K34" si="1">(H21+I21)-J21</f>
        <v>2709094.8095</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v>30242</v>
      </c>
      <c r="G24" s="221">
        <v>6170</v>
      </c>
      <c r="H24" s="118">
        <v>638700</v>
      </c>
      <c r="I24" s="133">
        <f t="shared" si="0"/>
        <v>465676.17</v>
      </c>
      <c r="J24" s="118">
        <v>470625</v>
      </c>
      <c r="K24" s="118">
        <f t="shared" si="1"/>
        <v>633751.16999999993</v>
      </c>
    </row>
    <row r="25" spans="1:11" ht="18" customHeight="1" x14ac:dyDescent="0.2">
      <c r="A25" s="435" t="s">
        <v>79</v>
      </c>
      <c r="B25" s="259" t="s">
        <v>5</v>
      </c>
      <c r="F25" s="221">
        <v>291</v>
      </c>
      <c r="G25" s="221">
        <v>913</v>
      </c>
      <c r="H25" s="118">
        <v>38880</v>
      </c>
      <c r="I25" s="133">
        <f t="shared" si="0"/>
        <v>28347.407999999999</v>
      </c>
      <c r="J25" s="118"/>
      <c r="K25" s="118">
        <f t="shared" si="1"/>
        <v>67227.407999999996</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12746</v>
      </c>
      <c r="G29" s="221">
        <v>5616</v>
      </c>
      <c r="H29" s="118">
        <v>556314</v>
      </c>
      <c r="I29" s="133">
        <f t="shared" si="0"/>
        <v>405608.53739999997</v>
      </c>
      <c r="J29" s="118">
        <v>504245</v>
      </c>
      <c r="K29" s="118">
        <f t="shared" si="1"/>
        <v>457677.53740000003</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70734</v>
      </c>
      <c r="G36" s="221">
        <f t="shared" si="2"/>
        <v>27435</v>
      </c>
      <c r="H36" s="221">
        <f t="shared" si="2"/>
        <v>2833939</v>
      </c>
      <c r="I36" s="118">
        <f t="shared" si="2"/>
        <v>2066224.9249</v>
      </c>
      <c r="J36" s="118">
        <f t="shared" si="2"/>
        <v>1032413</v>
      </c>
      <c r="K36" s="118">
        <f t="shared" si="2"/>
        <v>3867750.9249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v>48000</v>
      </c>
      <c r="I40" s="133">
        <v>0</v>
      </c>
      <c r="J40" s="118"/>
      <c r="K40" s="118">
        <f t="shared" ref="K40:K47" si="3">(H40+I40)-J40</f>
        <v>48000</v>
      </c>
    </row>
    <row r="41" spans="1:11" ht="18" customHeight="1" x14ac:dyDescent="0.2">
      <c r="A41" s="435" t="s">
        <v>88</v>
      </c>
      <c r="B41" s="465" t="s">
        <v>50</v>
      </c>
      <c r="C41" s="466"/>
      <c r="F41" s="221"/>
      <c r="G41" s="221"/>
      <c r="H41" s="118"/>
      <c r="I41" s="133">
        <v>0</v>
      </c>
      <c r="J41" s="118"/>
      <c r="K41" s="118">
        <f t="shared" si="3"/>
        <v>0</v>
      </c>
    </row>
    <row r="42" spans="1:11" ht="18" customHeight="1" x14ac:dyDescent="0.2">
      <c r="A42" s="435" t="s">
        <v>89</v>
      </c>
      <c r="B42" s="419" t="s">
        <v>11</v>
      </c>
      <c r="F42" s="221"/>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0</v>
      </c>
      <c r="G49" s="409">
        <f t="shared" si="4"/>
        <v>0</v>
      </c>
      <c r="H49" s="118">
        <f t="shared" si="4"/>
        <v>48000</v>
      </c>
      <c r="I49" s="118">
        <f t="shared" si="4"/>
        <v>0</v>
      </c>
      <c r="J49" s="118">
        <f t="shared" si="4"/>
        <v>0</v>
      </c>
      <c r="K49" s="118">
        <f t="shared" si="4"/>
        <v>48000</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482</v>
      </c>
      <c r="C53" s="411"/>
      <c r="D53" s="412"/>
      <c r="F53" s="221">
        <v>53040</v>
      </c>
      <c r="G53" s="221">
        <v>11651</v>
      </c>
      <c r="H53" s="118">
        <v>4323679</v>
      </c>
      <c r="I53" s="133">
        <f>H53*$F$114</f>
        <v>3152394.3588999999</v>
      </c>
      <c r="J53" s="118"/>
      <c r="K53" s="118">
        <f t="shared" ref="K53:K62" si="5">(H53+I53)-J53</f>
        <v>7476073.3588999994</v>
      </c>
    </row>
    <row r="54" spans="1:11" ht="18" customHeight="1" x14ac:dyDescent="0.2">
      <c r="A54" s="435" t="s">
        <v>93</v>
      </c>
      <c r="B54" s="420" t="s">
        <v>538</v>
      </c>
      <c r="C54" s="414"/>
      <c r="D54" s="415"/>
      <c r="F54" s="221">
        <v>14016</v>
      </c>
      <c r="G54" s="221">
        <v>2404</v>
      </c>
      <c r="H54" s="118">
        <v>831280</v>
      </c>
      <c r="I54" s="133">
        <f t="shared" ref="I54:I60" si="6">H54*$F$114</f>
        <v>606086.24800000002</v>
      </c>
      <c r="J54" s="118"/>
      <c r="K54" s="118">
        <f t="shared" si="5"/>
        <v>1437366.2480000001</v>
      </c>
    </row>
    <row r="55" spans="1:11" ht="18" customHeight="1" x14ac:dyDescent="0.2">
      <c r="A55" s="435" t="s">
        <v>94</v>
      </c>
      <c r="B55" s="418" t="s">
        <v>483</v>
      </c>
      <c r="C55" s="417"/>
      <c r="D55" s="412"/>
      <c r="F55" s="221">
        <v>166440</v>
      </c>
      <c r="G55" s="221">
        <v>31682</v>
      </c>
      <c r="H55" s="118">
        <v>2509600</v>
      </c>
      <c r="I55" s="133">
        <f t="shared" si="6"/>
        <v>1829749.3599999999</v>
      </c>
      <c r="J55" s="118"/>
      <c r="K55" s="118">
        <f t="shared" si="5"/>
        <v>4339349.3599999994</v>
      </c>
    </row>
    <row r="56" spans="1:11" ht="18" customHeight="1" x14ac:dyDescent="0.2">
      <c r="A56" s="435" t="s">
        <v>95</v>
      </c>
      <c r="B56" s="418" t="s">
        <v>484</v>
      </c>
      <c r="C56" s="417"/>
      <c r="D56" s="412"/>
      <c r="F56" s="221">
        <v>17520</v>
      </c>
      <c r="G56" s="221">
        <v>4972</v>
      </c>
      <c r="H56" s="118">
        <v>950000</v>
      </c>
      <c r="I56" s="133">
        <f t="shared" si="6"/>
        <v>692645</v>
      </c>
      <c r="J56" s="118"/>
      <c r="K56" s="118">
        <f t="shared" si="5"/>
        <v>1642645</v>
      </c>
    </row>
    <row r="57" spans="1:11" ht="18" customHeight="1" x14ac:dyDescent="0.2">
      <c r="A57" s="435" t="s">
        <v>96</v>
      </c>
      <c r="B57" s="418" t="s">
        <v>485</v>
      </c>
      <c r="C57" s="417"/>
      <c r="D57" s="412"/>
      <c r="F57" s="221">
        <v>8760</v>
      </c>
      <c r="G57" s="221">
        <v>1012</v>
      </c>
      <c r="H57" s="118">
        <v>999127</v>
      </c>
      <c r="I57" s="133">
        <f t="shared" si="6"/>
        <v>728463.49569999997</v>
      </c>
      <c r="J57" s="118"/>
      <c r="K57" s="118">
        <f t="shared" si="5"/>
        <v>1727590.4956999999</v>
      </c>
    </row>
    <row r="58" spans="1:11" ht="18" customHeight="1" x14ac:dyDescent="0.2">
      <c r="A58" s="435" t="s">
        <v>97</v>
      </c>
      <c r="B58" s="420" t="s">
        <v>486</v>
      </c>
      <c r="C58" s="414"/>
      <c r="D58" s="415"/>
      <c r="F58" s="221">
        <v>10448</v>
      </c>
      <c r="G58" s="221">
        <v>1950</v>
      </c>
      <c r="H58" s="118">
        <v>580856</v>
      </c>
      <c r="I58" s="133">
        <f t="shared" si="6"/>
        <v>423502.10959999997</v>
      </c>
      <c r="J58" s="118"/>
      <c r="K58" s="118">
        <f t="shared" si="5"/>
        <v>1004358.1096</v>
      </c>
    </row>
    <row r="59" spans="1:11" ht="18" customHeight="1" x14ac:dyDescent="0.2">
      <c r="A59" s="435" t="s">
        <v>98</v>
      </c>
      <c r="B59" s="418" t="s">
        <v>487</v>
      </c>
      <c r="C59" s="417"/>
      <c r="D59" s="412"/>
      <c r="F59" s="221">
        <v>5181</v>
      </c>
      <c r="G59" s="221">
        <v>2932</v>
      </c>
      <c r="H59" s="118">
        <v>139776</v>
      </c>
      <c r="I59" s="133">
        <f t="shared" si="6"/>
        <v>101910.6816</v>
      </c>
      <c r="J59" s="118">
        <v>13664</v>
      </c>
      <c r="K59" s="118">
        <f t="shared" si="5"/>
        <v>228022.68160000001</v>
      </c>
    </row>
    <row r="60" spans="1:11" ht="18" customHeight="1" x14ac:dyDescent="0.2">
      <c r="A60" s="435" t="s">
        <v>99</v>
      </c>
      <c r="B60" s="420" t="s">
        <v>644</v>
      </c>
      <c r="C60" s="414"/>
      <c r="D60" s="415"/>
      <c r="F60" s="221">
        <v>8934</v>
      </c>
      <c r="G60" s="221">
        <v>2501</v>
      </c>
      <c r="H60" s="118">
        <v>306625</v>
      </c>
      <c r="I60" s="133">
        <f t="shared" si="6"/>
        <v>223560.28749999998</v>
      </c>
      <c r="J60" s="118"/>
      <c r="K60" s="118">
        <f t="shared" si="5"/>
        <v>530185.28749999998</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7">SUM(F53:F62)</f>
        <v>284339</v>
      </c>
      <c r="G64" s="221">
        <f t="shared" si="7"/>
        <v>59104</v>
      </c>
      <c r="H64" s="118">
        <f t="shared" si="7"/>
        <v>10640943</v>
      </c>
      <c r="I64" s="118">
        <f t="shared" si="7"/>
        <v>7758311.5412999997</v>
      </c>
      <c r="J64" s="118">
        <f t="shared" si="7"/>
        <v>13664</v>
      </c>
      <c r="K64" s="118">
        <f t="shared" si="7"/>
        <v>18385590.541299999</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7760</v>
      </c>
      <c r="G68" s="122">
        <v>33</v>
      </c>
      <c r="H68" s="122">
        <v>283736</v>
      </c>
      <c r="I68" s="133">
        <f t="shared" ref="I68" si="8">H68*$F$114</f>
        <v>206871.91759999999</v>
      </c>
      <c r="J68" s="122">
        <v>150052</v>
      </c>
      <c r="K68" s="118">
        <f>(H68+I68)-J68</f>
        <v>340555.91759999999</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9">SUM(F68:F72)</f>
        <v>7760</v>
      </c>
      <c r="G74" s="122">
        <f t="shared" si="9"/>
        <v>33</v>
      </c>
      <c r="H74" s="122">
        <f t="shared" si="9"/>
        <v>283736</v>
      </c>
      <c r="I74" s="133">
        <f t="shared" si="9"/>
        <v>206871.91759999999</v>
      </c>
      <c r="J74" s="122">
        <f t="shared" si="9"/>
        <v>150052</v>
      </c>
      <c r="K74" s="118">
        <f t="shared" si="9"/>
        <v>340555.91759999999</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47641</v>
      </c>
      <c r="I77" s="133">
        <v>0</v>
      </c>
      <c r="J77" s="118"/>
      <c r="K77" s="118">
        <f>(H77+I77)-J77</f>
        <v>47641</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0">SUM(F77:F80)</f>
        <v>0</v>
      </c>
      <c r="G82" s="122">
        <f t="shared" si="10"/>
        <v>0</v>
      </c>
      <c r="H82" s="118">
        <f t="shared" si="10"/>
        <v>47641</v>
      </c>
      <c r="I82" s="118">
        <f t="shared" si="10"/>
        <v>0</v>
      </c>
      <c r="J82" s="118">
        <f t="shared" si="10"/>
        <v>0</v>
      </c>
      <c r="K82" s="118">
        <f t="shared" si="10"/>
        <v>47641</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11">H86*F$114</f>
        <v>0</v>
      </c>
      <c r="J86" s="118"/>
      <c r="K86" s="118">
        <f t="shared" ref="K86:K96" si="12">(H86+I86)-J86</f>
        <v>0</v>
      </c>
    </row>
    <row r="87" spans="1:11" ht="18" customHeight="1" x14ac:dyDescent="0.2">
      <c r="A87" s="435" t="s">
        <v>114</v>
      </c>
      <c r="B87" s="419" t="s">
        <v>14</v>
      </c>
      <c r="F87" s="221"/>
      <c r="G87" s="221"/>
      <c r="H87" s="118"/>
      <c r="I87" s="133">
        <f t="shared" si="11"/>
        <v>0</v>
      </c>
      <c r="J87" s="118"/>
      <c r="K87" s="118">
        <f t="shared" si="12"/>
        <v>0</v>
      </c>
    </row>
    <row r="88" spans="1:11" ht="18" customHeight="1" x14ac:dyDescent="0.2">
      <c r="A88" s="435" t="s">
        <v>115</v>
      </c>
      <c r="B88" s="419" t="s">
        <v>116</v>
      </c>
      <c r="F88" s="221">
        <v>3</v>
      </c>
      <c r="G88" s="221">
        <v>365</v>
      </c>
      <c r="H88" s="118">
        <v>49277</v>
      </c>
      <c r="I88" s="133">
        <f t="shared" si="11"/>
        <v>35927.860699999997</v>
      </c>
      <c r="J88" s="118">
        <v>26384</v>
      </c>
      <c r="K88" s="118">
        <f t="shared" si="12"/>
        <v>58820.86069999999</v>
      </c>
    </row>
    <row r="89" spans="1:11" ht="18" customHeight="1" x14ac:dyDescent="0.2">
      <c r="A89" s="435" t="s">
        <v>117</v>
      </c>
      <c r="B89" s="419" t="s">
        <v>58</v>
      </c>
      <c r="F89" s="221"/>
      <c r="G89" s="221"/>
      <c r="H89" s="118"/>
      <c r="I89" s="133">
        <f t="shared" si="11"/>
        <v>0</v>
      </c>
      <c r="J89" s="118"/>
      <c r="K89" s="118">
        <f t="shared" si="12"/>
        <v>0</v>
      </c>
    </row>
    <row r="90" spans="1:11" ht="18" customHeight="1" x14ac:dyDescent="0.2">
      <c r="A90" s="435" t="s">
        <v>118</v>
      </c>
      <c r="B90" s="465" t="s">
        <v>59</v>
      </c>
      <c r="C90" s="466"/>
      <c r="F90" s="221"/>
      <c r="G90" s="221"/>
      <c r="H90" s="118"/>
      <c r="I90" s="133">
        <f t="shared" si="11"/>
        <v>0</v>
      </c>
      <c r="J90" s="118"/>
      <c r="K90" s="118">
        <f t="shared" si="12"/>
        <v>0</v>
      </c>
    </row>
    <row r="91" spans="1:11" ht="18" customHeight="1" x14ac:dyDescent="0.2">
      <c r="A91" s="435" t="s">
        <v>119</v>
      </c>
      <c r="B91" s="419" t="s">
        <v>60</v>
      </c>
      <c r="F91" s="221"/>
      <c r="G91" s="221"/>
      <c r="H91" s="118"/>
      <c r="I91" s="133">
        <f t="shared" si="11"/>
        <v>0</v>
      </c>
      <c r="J91" s="118"/>
      <c r="K91" s="118">
        <f t="shared" si="12"/>
        <v>0</v>
      </c>
    </row>
    <row r="92" spans="1:11" ht="18" customHeight="1" x14ac:dyDescent="0.2">
      <c r="A92" s="435" t="s">
        <v>120</v>
      </c>
      <c r="B92" s="419" t="s">
        <v>121</v>
      </c>
      <c r="F92" s="257"/>
      <c r="G92" s="257"/>
      <c r="H92" s="429"/>
      <c r="I92" s="133">
        <f t="shared" si="11"/>
        <v>0</v>
      </c>
      <c r="J92" s="429"/>
      <c r="K92" s="118">
        <f t="shared" si="12"/>
        <v>0</v>
      </c>
    </row>
    <row r="93" spans="1:11" ht="18" customHeight="1" x14ac:dyDescent="0.2">
      <c r="A93" s="435" t="s">
        <v>122</v>
      </c>
      <c r="B93" s="419" t="s">
        <v>123</v>
      </c>
      <c r="F93" s="221"/>
      <c r="G93" s="221"/>
      <c r="H93" s="118"/>
      <c r="I93" s="133">
        <f t="shared" si="11"/>
        <v>0</v>
      </c>
      <c r="J93" s="118"/>
      <c r="K93" s="118">
        <f t="shared" si="12"/>
        <v>0</v>
      </c>
    </row>
    <row r="94" spans="1:11" ht="18" customHeight="1" x14ac:dyDescent="0.2">
      <c r="A94" s="435" t="s">
        <v>124</v>
      </c>
      <c r="B94" s="418"/>
      <c r="C94" s="417"/>
      <c r="D94" s="412"/>
      <c r="F94" s="221"/>
      <c r="G94" s="221"/>
      <c r="H94" s="118"/>
      <c r="I94" s="133">
        <f t="shared" si="11"/>
        <v>0</v>
      </c>
      <c r="J94" s="118"/>
      <c r="K94" s="118">
        <f t="shared" si="12"/>
        <v>0</v>
      </c>
    </row>
    <row r="95" spans="1:11" ht="18" customHeight="1" x14ac:dyDescent="0.2">
      <c r="A95" s="435" t="s">
        <v>125</v>
      </c>
      <c r="B95" s="418"/>
      <c r="C95" s="417"/>
      <c r="D95" s="412"/>
      <c r="F95" s="221"/>
      <c r="G95" s="221"/>
      <c r="H95" s="118"/>
      <c r="I95" s="133">
        <f t="shared" si="11"/>
        <v>0</v>
      </c>
      <c r="J95" s="118"/>
      <c r="K95" s="118">
        <f t="shared" si="12"/>
        <v>0</v>
      </c>
    </row>
    <row r="96" spans="1:11" ht="18" customHeight="1" x14ac:dyDescent="0.2">
      <c r="A96" s="435" t="s">
        <v>126</v>
      </c>
      <c r="B96" s="418"/>
      <c r="C96" s="417"/>
      <c r="D96" s="412"/>
      <c r="F96" s="221"/>
      <c r="G96" s="221"/>
      <c r="H96" s="118"/>
      <c r="I96" s="133">
        <f t="shared" si="11"/>
        <v>0</v>
      </c>
      <c r="J96" s="118"/>
      <c r="K96" s="118">
        <f t="shared" si="12"/>
        <v>0</v>
      </c>
    </row>
    <row r="97" spans="1:11" ht="18" customHeight="1" x14ac:dyDescent="0.2">
      <c r="A97" s="435"/>
      <c r="B97" s="419"/>
    </row>
    <row r="98" spans="1:11" ht="18" customHeight="1" x14ac:dyDescent="0.2">
      <c r="A98" s="455" t="s">
        <v>150</v>
      </c>
      <c r="B98" s="421" t="s">
        <v>151</v>
      </c>
      <c r="E98" s="421" t="s">
        <v>7</v>
      </c>
      <c r="F98" s="221">
        <f t="shared" ref="F98:K98" si="13">SUM(F86:F96)</f>
        <v>3</v>
      </c>
      <c r="G98" s="221">
        <f t="shared" si="13"/>
        <v>365</v>
      </c>
      <c r="H98" s="221">
        <f t="shared" si="13"/>
        <v>49277</v>
      </c>
      <c r="I98" s="221">
        <f t="shared" si="13"/>
        <v>35927.860699999997</v>
      </c>
      <c r="J98" s="221">
        <f t="shared" si="13"/>
        <v>26384</v>
      </c>
      <c r="K98" s="221">
        <f t="shared" si="13"/>
        <v>58820.86069999999</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134</v>
      </c>
      <c r="G102" s="221"/>
      <c r="H102" s="118">
        <v>9989</v>
      </c>
      <c r="I102" s="133">
        <f>H102*F$114</f>
        <v>7282.9798999999994</v>
      </c>
      <c r="J102" s="118"/>
      <c r="K102" s="118">
        <f>(H102+I102)-J102</f>
        <v>17271.979899999998</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134</v>
      </c>
      <c r="G108" s="221">
        <f t="shared" si="14"/>
        <v>0</v>
      </c>
      <c r="H108" s="118">
        <f t="shared" si="14"/>
        <v>9989</v>
      </c>
      <c r="I108" s="118">
        <f t="shared" si="14"/>
        <v>7282.9798999999994</v>
      </c>
      <c r="J108" s="118">
        <f t="shared" si="14"/>
        <v>0</v>
      </c>
      <c r="K108" s="118">
        <f t="shared" si="14"/>
        <v>17271.979899999998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6785000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0.72909999999999997</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357255000</v>
      </c>
    </row>
    <row r="118" spans="1:6" ht="18" customHeight="1" x14ac:dyDescent="0.2">
      <c r="A118" s="435" t="s">
        <v>173</v>
      </c>
      <c r="B118" s="259" t="s">
        <v>18</v>
      </c>
      <c r="F118" s="118">
        <v>9458000</v>
      </c>
    </row>
    <row r="119" spans="1:6" ht="18" customHeight="1" x14ac:dyDescent="0.2">
      <c r="A119" s="435" t="s">
        <v>174</v>
      </c>
      <c r="B119" s="421" t="s">
        <v>19</v>
      </c>
      <c r="F119" s="118">
        <f>SUM(F117:F118)</f>
        <v>366713000</v>
      </c>
    </row>
    <row r="120" spans="1:6" ht="18" customHeight="1" x14ac:dyDescent="0.2">
      <c r="A120" s="435"/>
      <c r="B120" s="421"/>
    </row>
    <row r="121" spans="1:6" ht="18" customHeight="1" x14ac:dyDescent="0.2">
      <c r="A121" s="435" t="s">
        <v>167</v>
      </c>
      <c r="B121" s="421" t="s">
        <v>36</v>
      </c>
      <c r="F121" s="118">
        <v>340036000</v>
      </c>
    </row>
    <row r="122" spans="1:6" ht="18" customHeight="1" x14ac:dyDescent="0.2">
      <c r="A122" s="435"/>
    </row>
    <row r="123" spans="1:6" ht="18" customHeight="1" x14ac:dyDescent="0.2">
      <c r="A123" s="435" t="s">
        <v>175</v>
      </c>
      <c r="B123" s="421" t="s">
        <v>20</v>
      </c>
      <c r="F123" s="118">
        <f>F119-F121</f>
        <v>26677000</v>
      </c>
    </row>
    <row r="124" spans="1:6" ht="18" customHeight="1" x14ac:dyDescent="0.2">
      <c r="A124" s="435"/>
    </row>
    <row r="125" spans="1:6" ht="18" customHeight="1" x14ac:dyDescent="0.2">
      <c r="A125" s="435" t="s">
        <v>176</v>
      </c>
      <c r="B125" s="421" t="s">
        <v>21</v>
      </c>
      <c r="F125" s="118">
        <v>2905000</v>
      </c>
    </row>
    <row r="126" spans="1:6" ht="18" customHeight="1" x14ac:dyDescent="0.2">
      <c r="A126" s="435"/>
    </row>
    <row r="127" spans="1:6" ht="18" customHeight="1" x14ac:dyDescent="0.2">
      <c r="A127" s="435" t="s">
        <v>177</v>
      </c>
      <c r="B127" s="421" t="s">
        <v>22</v>
      </c>
      <c r="F127" s="118">
        <f>F123+F125</f>
        <v>29582000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118">
        <f t="shared" si="15"/>
        <v>0</v>
      </c>
      <c r="I137" s="118">
        <f t="shared" si="15"/>
        <v>0</v>
      </c>
      <c r="J137" s="118">
        <f t="shared" si="15"/>
        <v>0</v>
      </c>
      <c r="K137" s="118">
        <f t="shared" si="15"/>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6">F36</f>
        <v>70734</v>
      </c>
      <c r="G141" s="422">
        <f t="shared" si="16"/>
        <v>27435</v>
      </c>
      <c r="H141" s="422">
        <f t="shared" si="16"/>
        <v>2833939</v>
      </c>
      <c r="I141" s="422">
        <f t="shared" si="16"/>
        <v>2066224.9249</v>
      </c>
      <c r="J141" s="422">
        <f t="shared" si="16"/>
        <v>1032413</v>
      </c>
      <c r="K141" s="422">
        <f t="shared" si="16"/>
        <v>3867750.9249</v>
      </c>
    </row>
    <row r="142" spans="1:11" ht="18" customHeight="1" x14ac:dyDescent="0.2">
      <c r="A142" s="435" t="s">
        <v>142</v>
      </c>
      <c r="B142" s="421" t="s">
        <v>65</v>
      </c>
      <c r="F142" s="422">
        <f t="shared" ref="F142:K142" si="17">F49</f>
        <v>0</v>
      </c>
      <c r="G142" s="422">
        <f t="shared" si="17"/>
        <v>0</v>
      </c>
      <c r="H142" s="422">
        <f t="shared" si="17"/>
        <v>48000</v>
      </c>
      <c r="I142" s="422">
        <f t="shared" si="17"/>
        <v>0</v>
      </c>
      <c r="J142" s="422">
        <f t="shared" si="17"/>
        <v>0</v>
      </c>
      <c r="K142" s="422">
        <f t="shared" si="17"/>
        <v>48000</v>
      </c>
    </row>
    <row r="143" spans="1:11" ht="18" customHeight="1" x14ac:dyDescent="0.2">
      <c r="A143" s="435" t="s">
        <v>144</v>
      </c>
      <c r="B143" s="421" t="s">
        <v>66</v>
      </c>
      <c r="F143" s="422">
        <f t="shared" ref="F143:K143" si="18">F64</f>
        <v>284339</v>
      </c>
      <c r="G143" s="422">
        <f t="shared" si="18"/>
        <v>59104</v>
      </c>
      <c r="H143" s="422">
        <f t="shared" si="18"/>
        <v>10640943</v>
      </c>
      <c r="I143" s="422">
        <f t="shared" si="18"/>
        <v>7758311.5412999997</v>
      </c>
      <c r="J143" s="422">
        <f t="shared" si="18"/>
        <v>13664</v>
      </c>
      <c r="K143" s="422">
        <f t="shared" si="18"/>
        <v>18385590.541299999</v>
      </c>
    </row>
    <row r="144" spans="1:11" ht="18" customHeight="1" x14ac:dyDescent="0.2">
      <c r="A144" s="435" t="s">
        <v>146</v>
      </c>
      <c r="B144" s="421" t="s">
        <v>67</v>
      </c>
      <c r="F144" s="422">
        <f t="shared" ref="F144:K144" si="19">F74</f>
        <v>7760</v>
      </c>
      <c r="G144" s="422">
        <f t="shared" si="19"/>
        <v>33</v>
      </c>
      <c r="H144" s="422">
        <f t="shared" si="19"/>
        <v>283736</v>
      </c>
      <c r="I144" s="422">
        <f t="shared" si="19"/>
        <v>206871.91759999999</v>
      </c>
      <c r="J144" s="422">
        <f t="shared" si="19"/>
        <v>150052</v>
      </c>
      <c r="K144" s="422">
        <f t="shared" si="19"/>
        <v>340555.91759999999</v>
      </c>
    </row>
    <row r="145" spans="1:11" ht="18" customHeight="1" x14ac:dyDescent="0.2">
      <c r="A145" s="435" t="s">
        <v>148</v>
      </c>
      <c r="B145" s="421" t="s">
        <v>68</v>
      </c>
      <c r="F145" s="422">
        <f t="shared" ref="F145:K145" si="20">F82</f>
        <v>0</v>
      </c>
      <c r="G145" s="422">
        <f t="shared" si="20"/>
        <v>0</v>
      </c>
      <c r="H145" s="422">
        <f t="shared" si="20"/>
        <v>47641</v>
      </c>
      <c r="I145" s="422">
        <f t="shared" si="20"/>
        <v>0</v>
      </c>
      <c r="J145" s="422">
        <f t="shared" si="20"/>
        <v>0</v>
      </c>
      <c r="K145" s="422">
        <f t="shared" si="20"/>
        <v>47641</v>
      </c>
    </row>
    <row r="146" spans="1:11" ht="18" customHeight="1" x14ac:dyDescent="0.2">
      <c r="A146" s="435" t="s">
        <v>150</v>
      </c>
      <c r="B146" s="421" t="s">
        <v>69</v>
      </c>
      <c r="F146" s="422">
        <f t="shared" ref="F146:K146" si="21">F98</f>
        <v>3</v>
      </c>
      <c r="G146" s="422">
        <f t="shared" si="21"/>
        <v>365</v>
      </c>
      <c r="H146" s="422">
        <f t="shared" si="21"/>
        <v>49277</v>
      </c>
      <c r="I146" s="422">
        <f t="shared" si="21"/>
        <v>35927.860699999997</v>
      </c>
      <c r="J146" s="422">
        <f t="shared" si="21"/>
        <v>26384</v>
      </c>
      <c r="K146" s="422">
        <f t="shared" si="21"/>
        <v>58820.86069999999</v>
      </c>
    </row>
    <row r="147" spans="1:11" ht="18" customHeight="1" x14ac:dyDescent="0.2">
      <c r="A147" s="435" t="s">
        <v>153</v>
      </c>
      <c r="B147" s="421" t="s">
        <v>61</v>
      </c>
      <c r="F147" s="221">
        <f t="shared" ref="F147:K147" si="22">F108</f>
        <v>134</v>
      </c>
      <c r="G147" s="221">
        <f t="shared" si="22"/>
        <v>0</v>
      </c>
      <c r="H147" s="221">
        <f t="shared" si="22"/>
        <v>9989</v>
      </c>
      <c r="I147" s="221">
        <f t="shared" si="22"/>
        <v>7282.9798999999994</v>
      </c>
      <c r="J147" s="221">
        <f t="shared" si="22"/>
        <v>0</v>
      </c>
      <c r="K147" s="221">
        <f t="shared" si="22"/>
        <v>17271.979899999998</v>
      </c>
    </row>
    <row r="148" spans="1:11" ht="18" customHeight="1" x14ac:dyDescent="0.2">
      <c r="A148" s="435" t="s">
        <v>155</v>
      </c>
      <c r="B148" s="421" t="s">
        <v>70</v>
      </c>
      <c r="F148" s="485" t="s">
        <v>73</v>
      </c>
      <c r="G148" s="485" t="s">
        <v>73</v>
      </c>
      <c r="H148" s="486" t="s">
        <v>73</v>
      </c>
      <c r="I148" s="486" t="s">
        <v>73</v>
      </c>
      <c r="J148" s="486" t="s">
        <v>73</v>
      </c>
      <c r="K148" s="423">
        <f>F111</f>
        <v>6785000</v>
      </c>
    </row>
    <row r="149" spans="1:11" ht="18" customHeight="1" x14ac:dyDescent="0.2">
      <c r="A149" s="435" t="s">
        <v>163</v>
      </c>
      <c r="B149" s="421" t="s">
        <v>71</v>
      </c>
      <c r="F149" s="221">
        <f t="shared" ref="F149:K149" si="23">F137</f>
        <v>0</v>
      </c>
      <c r="G149" s="221">
        <f t="shared" si="23"/>
        <v>0</v>
      </c>
      <c r="H149" s="221">
        <f t="shared" si="23"/>
        <v>0</v>
      </c>
      <c r="I149" s="221">
        <f t="shared" si="23"/>
        <v>0</v>
      </c>
      <c r="J149" s="221">
        <f t="shared" si="23"/>
        <v>0</v>
      </c>
      <c r="K149" s="221">
        <f t="shared" si="23"/>
        <v>0</v>
      </c>
    </row>
    <row r="150" spans="1:11" ht="18" customHeight="1" x14ac:dyDescent="0.2">
      <c r="A150" s="435" t="s">
        <v>185</v>
      </c>
      <c r="B150" s="421" t="s">
        <v>186</v>
      </c>
      <c r="F150" s="485" t="s">
        <v>73</v>
      </c>
      <c r="G150" s="485" t="s">
        <v>73</v>
      </c>
      <c r="H150" s="221">
        <f>H18</f>
        <v>7561911</v>
      </c>
      <c r="I150" s="221">
        <f>I18</f>
        <v>0</v>
      </c>
      <c r="J150" s="221">
        <f>J18</f>
        <v>6391307</v>
      </c>
      <c r="K150" s="221">
        <f>K18</f>
        <v>1170604</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4">SUM(F141:F150)</f>
        <v>362970</v>
      </c>
      <c r="G152" s="487">
        <f t="shared" si="24"/>
        <v>86937</v>
      </c>
      <c r="H152" s="487">
        <f t="shared" si="24"/>
        <v>21475436</v>
      </c>
      <c r="I152" s="487">
        <f t="shared" si="24"/>
        <v>10074619.224400001</v>
      </c>
      <c r="J152" s="487">
        <f t="shared" si="24"/>
        <v>7613820</v>
      </c>
      <c r="K152" s="487">
        <f t="shared" si="24"/>
        <v>30721235.224399995</v>
      </c>
    </row>
    <row r="154" spans="1:11" ht="18" customHeight="1" x14ac:dyDescent="0.2">
      <c r="A154" s="455" t="s">
        <v>168</v>
      </c>
      <c r="B154" s="421" t="s">
        <v>28</v>
      </c>
      <c r="F154" s="140">
        <f>K152/F121</f>
        <v>9.034700803561975E-2</v>
      </c>
    </row>
    <row r="155" spans="1:11" ht="18" customHeight="1" x14ac:dyDescent="0.2">
      <c r="A155" s="455" t="s">
        <v>169</v>
      </c>
      <c r="B155" s="421" t="s">
        <v>72</v>
      </c>
      <c r="F155" s="140">
        <f>K152/F127</f>
        <v>1.0385110954093704</v>
      </c>
      <c r="G155" s="421"/>
    </row>
    <row r="156" spans="1:11" ht="18" customHeight="1" x14ac:dyDescent="0.2">
      <c r="G156" s="421"/>
    </row>
  </sheetData>
  <sheetProtection algorithmName="SHA-512" hashValue="PQW1xbbtaw7w6CJbKxOYUYPIMubA54Xyfn1OHUU6cD/vZ7G9zmTNy7652s0Mj32csY4UNxjh/eOwnIrziMRRqg==" saltValue="ORLZUECH2Laok3yLTBoiKA==" spinCount="100000" sheet="1" objects="1" scenarios="1"/>
  <mergeCells count="34">
    <mergeCell ref="B134:D134"/>
    <mergeCell ref="B135:D135"/>
    <mergeCell ref="B133:D133"/>
    <mergeCell ref="B104:D104"/>
    <mergeCell ref="B105:D105"/>
    <mergeCell ref="B106:D106"/>
    <mergeCell ref="B31:D31"/>
    <mergeCell ref="B96:D96"/>
    <mergeCell ref="B95:D95"/>
    <mergeCell ref="B57:D57"/>
    <mergeCell ref="B94:D94"/>
    <mergeCell ref="B52:C52"/>
    <mergeCell ref="B90:C90"/>
    <mergeCell ref="B53:D53"/>
    <mergeCell ref="B55:D55"/>
    <mergeCell ref="B56:D56"/>
    <mergeCell ref="B59:D59"/>
    <mergeCell ref="B62:D62"/>
    <mergeCell ref="B103:C103"/>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156"/>
  <sheetViews>
    <sheetView showGridLines="0" zoomScale="70" zoomScaleNormal="70" zoomScaleSheetLayoutView="50" workbookViewId="0"/>
  </sheetViews>
  <sheetFormatPr defaultRowHeight="18" customHeight="1" x14ac:dyDescent="0.2"/>
  <cols>
    <col min="1" max="1" width="8.28515625" style="430" customWidth="1"/>
    <col min="2" max="2" width="43.5703125" style="259" customWidth="1"/>
    <col min="3" max="3" width="16.5703125" style="259" customWidth="1"/>
    <col min="4" max="4" width="4.42578125" style="259" customWidth="1"/>
    <col min="5" max="5" width="9.140625" style="259" bestFit="1"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89" t="s">
        <v>597</v>
      </c>
      <c r="D5" s="437"/>
      <c r="E5" s="437"/>
      <c r="F5" s="437"/>
      <c r="G5" s="438"/>
    </row>
    <row r="6" spans="1:11" ht="18" customHeight="1" x14ac:dyDescent="0.2">
      <c r="B6" s="435" t="s">
        <v>3</v>
      </c>
      <c r="C6" s="439">
        <v>210006</v>
      </c>
      <c r="D6" s="440"/>
      <c r="E6" s="440"/>
      <c r="F6" s="440"/>
      <c r="G6" s="441"/>
    </row>
    <row r="7" spans="1:11" ht="18" customHeight="1" x14ac:dyDescent="0.2">
      <c r="B7" s="435" t="s">
        <v>4</v>
      </c>
      <c r="C7" s="439">
        <v>994</v>
      </c>
      <c r="D7" s="440"/>
      <c r="E7" s="440"/>
      <c r="F7" s="440"/>
      <c r="G7" s="441"/>
    </row>
    <row r="9" spans="1:11" ht="18" customHeight="1" x14ac:dyDescent="0.2">
      <c r="B9" s="435" t="s">
        <v>1</v>
      </c>
      <c r="C9" s="489" t="s">
        <v>733</v>
      </c>
      <c r="D9" s="437"/>
      <c r="E9" s="437"/>
      <c r="F9" s="437"/>
      <c r="G9" s="438"/>
    </row>
    <row r="10" spans="1:11" ht="18" customHeight="1" x14ac:dyDescent="0.2">
      <c r="B10" s="435" t="s">
        <v>2</v>
      </c>
      <c r="C10" s="490" t="s">
        <v>442</v>
      </c>
      <c r="D10" s="446"/>
      <c r="E10" s="446"/>
      <c r="F10" s="446"/>
      <c r="G10" s="447"/>
    </row>
    <row r="11" spans="1:11" ht="18" customHeight="1" x14ac:dyDescent="0.2">
      <c r="B11" s="435" t="s">
        <v>32</v>
      </c>
      <c r="C11" s="498" t="s">
        <v>583</v>
      </c>
      <c r="D11" s="498"/>
      <c r="E11" s="498"/>
      <c r="F11" s="498"/>
      <c r="G11" s="49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2289276.0599365905</v>
      </c>
      <c r="I18" s="133">
        <v>0</v>
      </c>
      <c r="J18" s="118">
        <v>1934890.0140105826</v>
      </c>
      <c r="K18" s="118">
        <f>(H18+I18)-J18</f>
        <v>354386.04592600791</v>
      </c>
    </row>
    <row r="19" spans="1:11" ht="45.2"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1890</v>
      </c>
      <c r="G21" s="221">
        <v>81653</v>
      </c>
      <c r="H21" s="118">
        <v>93883.199999999997</v>
      </c>
      <c r="I21" s="133">
        <f t="shared" ref="I21:I34" si="0">H21*F$114</f>
        <v>80570.46721369341</v>
      </c>
      <c r="J21" s="118">
        <v>5683.2</v>
      </c>
      <c r="K21" s="118">
        <f t="shared" ref="K21:K34" si="1">(H21+I21)-J21</f>
        <v>168770.4672136934</v>
      </c>
    </row>
    <row r="22" spans="1:11" ht="18" customHeight="1" x14ac:dyDescent="0.2">
      <c r="A22" s="435" t="s">
        <v>76</v>
      </c>
      <c r="B22" s="259" t="s">
        <v>6</v>
      </c>
      <c r="F22" s="221">
        <v>240</v>
      </c>
      <c r="G22" s="221">
        <v>889.5</v>
      </c>
      <c r="H22" s="118">
        <v>14010.6</v>
      </c>
      <c r="I22" s="133">
        <f t="shared" si="0"/>
        <v>12023.88273880921</v>
      </c>
      <c r="J22" s="118">
        <v>0</v>
      </c>
      <c r="K22" s="118">
        <f t="shared" si="1"/>
        <v>26034.482738809209</v>
      </c>
    </row>
    <row r="23" spans="1:11" ht="18" customHeight="1" x14ac:dyDescent="0.2">
      <c r="A23" s="435" t="s">
        <v>77</v>
      </c>
      <c r="B23" s="259" t="s">
        <v>43</v>
      </c>
      <c r="F23" s="221">
        <v>399.59999999999997</v>
      </c>
      <c r="G23" s="221">
        <v>434.4</v>
      </c>
      <c r="H23" s="118">
        <v>20444.099999999999</v>
      </c>
      <c r="I23" s="133">
        <f t="shared" si="0"/>
        <v>17545.105926975961</v>
      </c>
      <c r="J23" s="118">
        <v>2796.2999999999997</v>
      </c>
      <c r="K23" s="118">
        <f t="shared" si="1"/>
        <v>35192.90592697596</v>
      </c>
    </row>
    <row r="24" spans="1:11" ht="18" customHeight="1" x14ac:dyDescent="0.2">
      <c r="A24" s="435" t="s">
        <v>78</v>
      </c>
      <c r="B24" s="259" t="s">
        <v>44</v>
      </c>
      <c r="F24" s="221">
        <v>2046.6</v>
      </c>
      <c r="G24" s="221">
        <v>696.6</v>
      </c>
      <c r="H24" s="118">
        <v>356880</v>
      </c>
      <c r="I24" s="133">
        <f t="shared" si="0"/>
        <v>306274.0547746871</v>
      </c>
      <c r="J24" s="118">
        <v>30503.1</v>
      </c>
      <c r="K24" s="118">
        <f t="shared" si="1"/>
        <v>632650.95477468718</v>
      </c>
    </row>
    <row r="25" spans="1:11" ht="18" customHeight="1" x14ac:dyDescent="0.2">
      <c r="A25" s="435" t="s">
        <v>79</v>
      </c>
      <c r="B25" s="259" t="s">
        <v>5</v>
      </c>
      <c r="F25" s="221">
        <v>264.3</v>
      </c>
      <c r="G25" s="221">
        <v>1406.7</v>
      </c>
      <c r="H25" s="118">
        <v>10956.6</v>
      </c>
      <c r="I25" s="133">
        <f t="shared" si="0"/>
        <v>9402.9430299942196</v>
      </c>
      <c r="J25" s="118">
        <v>27</v>
      </c>
      <c r="K25" s="118">
        <f t="shared" si="1"/>
        <v>20332.54302999422</v>
      </c>
    </row>
    <row r="26" spans="1:11" ht="18" customHeight="1" x14ac:dyDescent="0.2">
      <c r="A26" s="435" t="s">
        <v>80</v>
      </c>
      <c r="B26" s="259" t="s">
        <v>45</v>
      </c>
      <c r="F26" s="221">
        <v>0</v>
      </c>
      <c r="G26" s="221">
        <v>0</v>
      </c>
      <c r="H26" s="118">
        <v>0</v>
      </c>
      <c r="I26" s="133">
        <f t="shared" si="0"/>
        <v>0</v>
      </c>
      <c r="J26" s="118">
        <v>0</v>
      </c>
      <c r="K26" s="118">
        <f t="shared" si="1"/>
        <v>0</v>
      </c>
    </row>
    <row r="27" spans="1:11" ht="18" customHeight="1" x14ac:dyDescent="0.2">
      <c r="A27" s="435" t="s">
        <v>81</v>
      </c>
      <c r="B27" s="259" t="s">
        <v>536</v>
      </c>
      <c r="F27" s="221">
        <v>39.299999999999997</v>
      </c>
      <c r="G27" s="221">
        <v>168</v>
      </c>
      <c r="H27" s="118">
        <v>1591.8</v>
      </c>
      <c r="I27" s="133">
        <f t="shared" si="0"/>
        <v>1366.0811488185018</v>
      </c>
      <c r="J27" s="118">
        <v>0</v>
      </c>
      <c r="K27" s="118">
        <f t="shared" si="1"/>
        <v>2957.881148818502</v>
      </c>
    </row>
    <row r="28" spans="1:11" ht="18" customHeight="1" x14ac:dyDescent="0.2">
      <c r="A28" s="435" t="s">
        <v>82</v>
      </c>
      <c r="B28" s="259" t="s">
        <v>47</v>
      </c>
      <c r="F28" s="221">
        <v>643.79999999999995</v>
      </c>
      <c r="G28" s="221">
        <v>35.4</v>
      </c>
      <c r="H28" s="118">
        <v>15266.4</v>
      </c>
      <c r="I28" s="133">
        <f t="shared" si="0"/>
        <v>13101.609027718794</v>
      </c>
      <c r="J28" s="118">
        <v>127.8</v>
      </c>
      <c r="K28" s="118">
        <f t="shared" si="1"/>
        <v>28240.209027718793</v>
      </c>
    </row>
    <row r="29" spans="1:11" ht="18" customHeight="1" x14ac:dyDescent="0.2">
      <c r="A29" s="435" t="s">
        <v>83</v>
      </c>
      <c r="B29" s="259" t="s">
        <v>48</v>
      </c>
      <c r="F29" s="221">
        <v>997.8</v>
      </c>
      <c r="G29" s="221">
        <v>1491</v>
      </c>
      <c r="H29" s="118">
        <v>127333.79999999999</v>
      </c>
      <c r="I29" s="133">
        <f t="shared" si="0"/>
        <v>109277.73827580432</v>
      </c>
      <c r="J29" s="118">
        <v>0</v>
      </c>
      <c r="K29" s="118">
        <f t="shared" si="1"/>
        <v>236611.53827580431</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6521.4000000000005</v>
      </c>
      <c r="G36" s="221">
        <f t="shared" si="2"/>
        <v>86774.599999999991</v>
      </c>
      <c r="H36" s="221">
        <f t="shared" si="2"/>
        <v>640366.5</v>
      </c>
      <c r="I36" s="118">
        <f t="shared" si="2"/>
        <v>549561.88213650137</v>
      </c>
      <c r="J36" s="118">
        <f t="shared" si="2"/>
        <v>39137.4</v>
      </c>
      <c r="K36" s="118">
        <f t="shared" si="2"/>
        <v>1150790.9821365015</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439.5</v>
      </c>
      <c r="G40" s="221">
        <v>0</v>
      </c>
      <c r="H40" s="118">
        <v>55959.9</v>
      </c>
      <c r="I40" s="133">
        <f t="shared" ref="I40:I42" si="3">H40*F$114</f>
        <v>48024.729538741354</v>
      </c>
      <c r="J40" s="118">
        <v>0</v>
      </c>
      <c r="K40" s="118">
        <f t="shared" ref="K40:K47" si="4">(H40+I40)-J40</f>
        <v>103984.62953874136</v>
      </c>
    </row>
    <row r="41" spans="1:11" ht="18" customHeight="1" x14ac:dyDescent="0.2">
      <c r="A41" s="435" t="s">
        <v>88</v>
      </c>
      <c r="B41" s="465" t="s">
        <v>50</v>
      </c>
      <c r="C41" s="466"/>
      <c r="F41" s="221">
        <v>987.9</v>
      </c>
      <c r="G41" s="221">
        <v>0</v>
      </c>
      <c r="H41" s="118">
        <v>40020</v>
      </c>
      <c r="I41" s="133">
        <f t="shared" si="3"/>
        <v>34345.123492722982</v>
      </c>
      <c r="J41" s="118">
        <v>0</v>
      </c>
      <c r="K41" s="118">
        <f t="shared" si="4"/>
        <v>74365.123492722982</v>
      </c>
    </row>
    <row r="42" spans="1:11" ht="18" customHeight="1" x14ac:dyDescent="0.2">
      <c r="A42" s="435" t="s">
        <v>89</v>
      </c>
      <c r="B42" s="419" t="s">
        <v>11</v>
      </c>
      <c r="F42" s="221">
        <v>5724.9</v>
      </c>
      <c r="G42" s="221">
        <v>0</v>
      </c>
      <c r="H42" s="118">
        <v>231209.4</v>
      </c>
      <c r="I42" s="133">
        <f t="shared" si="3"/>
        <v>198423.67305543192</v>
      </c>
      <c r="J42" s="118">
        <v>0</v>
      </c>
      <c r="K42" s="118">
        <f t="shared" si="4"/>
        <v>429633.07305543195</v>
      </c>
    </row>
    <row r="43" spans="1:11" ht="18" customHeight="1" x14ac:dyDescent="0.2">
      <c r="A43" s="435" t="s">
        <v>90</v>
      </c>
      <c r="B43" s="467" t="s">
        <v>10</v>
      </c>
      <c r="C43" s="468"/>
      <c r="D43" s="468"/>
      <c r="F43" s="221"/>
      <c r="G43" s="221"/>
      <c r="H43" s="118"/>
      <c r="I43" s="133">
        <v>0</v>
      </c>
      <c r="J43" s="118"/>
      <c r="K43" s="118">
        <f t="shared" si="4"/>
        <v>0</v>
      </c>
    </row>
    <row r="44" spans="1:11" ht="18" customHeight="1" x14ac:dyDescent="0.2">
      <c r="A44" s="435" t="s">
        <v>91</v>
      </c>
      <c r="B44" s="456"/>
      <c r="C44" s="457"/>
      <c r="D44" s="458"/>
      <c r="F44" s="407"/>
      <c r="G44" s="407"/>
      <c r="H44" s="407"/>
      <c r="I44" s="408">
        <v>0</v>
      </c>
      <c r="J44" s="407"/>
      <c r="K44" s="134">
        <f t="shared" si="4"/>
        <v>0</v>
      </c>
    </row>
    <row r="45" spans="1:11" ht="18" customHeight="1" x14ac:dyDescent="0.2">
      <c r="A45" s="435" t="s">
        <v>139</v>
      </c>
      <c r="B45" s="456"/>
      <c r="C45" s="457"/>
      <c r="D45" s="458"/>
      <c r="F45" s="221"/>
      <c r="G45" s="221"/>
      <c r="H45" s="118"/>
      <c r="I45" s="133">
        <v>0</v>
      </c>
      <c r="J45" s="118"/>
      <c r="K45" s="118">
        <f t="shared" si="4"/>
        <v>0</v>
      </c>
    </row>
    <row r="46" spans="1:11" ht="18" customHeight="1" x14ac:dyDescent="0.2">
      <c r="A46" s="435" t="s">
        <v>140</v>
      </c>
      <c r="B46" s="456"/>
      <c r="C46" s="457"/>
      <c r="D46" s="458"/>
      <c r="F46" s="221"/>
      <c r="G46" s="221"/>
      <c r="H46" s="118"/>
      <c r="I46" s="133">
        <v>0</v>
      </c>
      <c r="J46" s="118"/>
      <c r="K46" s="118">
        <f t="shared" si="4"/>
        <v>0</v>
      </c>
    </row>
    <row r="47" spans="1:11" ht="18" customHeight="1" x14ac:dyDescent="0.2">
      <c r="A47" s="435" t="s">
        <v>141</v>
      </c>
      <c r="B47" s="456"/>
      <c r="C47" s="457"/>
      <c r="D47" s="458"/>
      <c r="F47" s="221"/>
      <c r="G47" s="221"/>
      <c r="H47" s="118"/>
      <c r="I47" s="133">
        <v>0</v>
      </c>
      <c r="J47" s="118"/>
      <c r="K47" s="118">
        <f t="shared" si="4"/>
        <v>0</v>
      </c>
    </row>
    <row r="49" spans="1:11" ht="18" customHeight="1" x14ac:dyDescent="0.2">
      <c r="A49" s="455" t="s">
        <v>142</v>
      </c>
      <c r="B49" s="421" t="s">
        <v>143</v>
      </c>
      <c r="E49" s="421" t="s">
        <v>7</v>
      </c>
      <c r="F49" s="409">
        <f t="shared" ref="F49:K49" si="5">SUM(F40:F47)</f>
        <v>7152.2999999999993</v>
      </c>
      <c r="G49" s="409">
        <f t="shared" si="5"/>
        <v>0</v>
      </c>
      <c r="H49" s="118">
        <f t="shared" si="5"/>
        <v>327189.3</v>
      </c>
      <c r="I49" s="118">
        <f t="shared" si="5"/>
        <v>280793.52608689625</v>
      </c>
      <c r="J49" s="118">
        <f t="shared" si="5"/>
        <v>0</v>
      </c>
      <c r="K49" s="118">
        <f t="shared" si="5"/>
        <v>607982.82608689624</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27.75" customHeight="1" x14ac:dyDescent="0.2">
      <c r="A52" s="455" t="s">
        <v>92</v>
      </c>
      <c r="B52" s="470" t="s">
        <v>38</v>
      </c>
      <c r="C52" s="471"/>
    </row>
    <row r="53" spans="1:11" ht="18" customHeight="1" x14ac:dyDescent="0.2">
      <c r="A53" s="435" t="s">
        <v>51</v>
      </c>
      <c r="B53" s="491" t="s">
        <v>488</v>
      </c>
      <c r="C53" s="411"/>
      <c r="D53" s="412"/>
      <c r="F53" s="221">
        <v>0</v>
      </c>
      <c r="G53" s="221">
        <v>0</v>
      </c>
      <c r="H53" s="118">
        <v>667674</v>
      </c>
      <c r="I53" s="133">
        <f>H53*$F$114</f>
        <v>572997.15099650982</v>
      </c>
      <c r="J53" s="118">
        <v>0</v>
      </c>
      <c r="K53" s="118">
        <f t="shared" ref="K53:K62" si="6">(H53+I53)-J53</f>
        <v>1240671.1509965099</v>
      </c>
    </row>
    <row r="54" spans="1:11" ht="18" customHeight="1" x14ac:dyDescent="0.2">
      <c r="A54" s="435" t="s">
        <v>93</v>
      </c>
      <c r="B54" s="420" t="s">
        <v>598</v>
      </c>
      <c r="C54" s="414"/>
      <c r="D54" s="415"/>
      <c r="F54" s="221"/>
      <c r="G54" s="221"/>
      <c r="H54" s="118">
        <v>184243</v>
      </c>
      <c r="I54" s="133">
        <f t="shared" ref="I54:I55" si="7">H54*$F$114</f>
        <v>158117.15611368718</v>
      </c>
      <c r="J54" s="118"/>
      <c r="K54" s="118">
        <f t="shared" si="6"/>
        <v>342360.1561136872</v>
      </c>
    </row>
    <row r="55" spans="1:11" ht="18" customHeight="1" x14ac:dyDescent="0.2">
      <c r="A55" s="435" t="s">
        <v>94</v>
      </c>
      <c r="B55" s="418" t="s">
        <v>443</v>
      </c>
      <c r="C55" s="417"/>
      <c r="D55" s="412"/>
      <c r="F55" s="221"/>
      <c r="G55" s="221"/>
      <c r="H55" s="118">
        <v>674579</v>
      </c>
      <c r="I55" s="133">
        <f t="shared" si="7"/>
        <v>578923.01500743569</v>
      </c>
      <c r="J55" s="118"/>
      <c r="K55" s="118">
        <f t="shared" si="6"/>
        <v>1253502.0150074358</v>
      </c>
    </row>
    <row r="56" spans="1:11" ht="18" customHeight="1" x14ac:dyDescent="0.2">
      <c r="A56" s="435" t="s">
        <v>95</v>
      </c>
      <c r="B56" s="418"/>
      <c r="C56" s="417"/>
      <c r="D56" s="412"/>
      <c r="F56" s="221"/>
      <c r="G56" s="221"/>
      <c r="H56" s="118"/>
      <c r="I56" s="133">
        <v>0</v>
      </c>
      <c r="J56" s="118"/>
      <c r="K56" s="118">
        <f t="shared" si="6"/>
        <v>0</v>
      </c>
    </row>
    <row r="57" spans="1:11" ht="18" customHeight="1" x14ac:dyDescent="0.2">
      <c r="A57" s="435" t="s">
        <v>96</v>
      </c>
      <c r="B57" s="418"/>
      <c r="C57" s="417"/>
      <c r="D57" s="412"/>
      <c r="F57" s="221"/>
      <c r="G57" s="221"/>
      <c r="H57" s="118"/>
      <c r="I57" s="133">
        <v>0</v>
      </c>
      <c r="J57" s="118"/>
      <c r="K57" s="118">
        <f t="shared" si="6"/>
        <v>0</v>
      </c>
    </row>
    <row r="58" spans="1:11" ht="18" customHeight="1" x14ac:dyDescent="0.2">
      <c r="A58" s="435" t="s">
        <v>97</v>
      </c>
      <c r="B58" s="420"/>
      <c r="C58" s="414"/>
      <c r="D58" s="415"/>
      <c r="F58" s="221"/>
      <c r="G58" s="221"/>
      <c r="H58" s="118"/>
      <c r="I58" s="133">
        <v>0</v>
      </c>
      <c r="J58" s="118"/>
      <c r="K58" s="118">
        <f t="shared" si="6"/>
        <v>0</v>
      </c>
    </row>
    <row r="59" spans="1:11" ht="18" customHeight="1" x14ac:dyDescent="0.2">
      <c r="A59" s="435" t="s">
        <v>98</v>
      </c>
      <c r="B59" s="410" t="s">
        <v>333</v>
      </c>
      <c r="C59" s="411"/>
      <c r="D59" s="412"/>
      <c r="F59" s="221"/>
      <c r="G59" s="221"/>
      <c r="H59" s="118">
        <v>126000</v>
      </c>
      <c r="I59" s="133">
        <f t="shared" ref="I59" si="8">H59*$F$114</f>
        <v>108133.07246584447</v>
      </c>
      <c r="J59" s="118"/>
      <c r="K59" s="118">
        <f t="shared" si="6"/>
        <v>234133.07246584445</v>
      </c>
    </row>
    <row r="60" spans="1:11" ht="18" customHeight="1" x14ac:dyDescent="0.2">
      <c r="A60" s="435" t="s">
        <v>99</v>
      </c>
      <c r="B60" s="420"/>
      <c r="C60" s="414"/>
      <c r="D60" s="415"/>
      <c r="F60" s="221"/>
      <c r="G60" s="221"/>
      <c r="H60" s="118"/>
      <c r="I60" s="133">
        <v>0</v>
      </c>
      <c r="J60" s="118"/>
      <c r="K60" s="118">
        <f t="shared" si="6"/>
        <v>0</v>
      </c>
    </row>
    <row r="61" spans="1:11" ht="18" customHeight="1" x14ac:dyDescent="0.2">
      <c r="A61" s="435" t="s">
        <v>100</v>
      </c>
      <c r="B61" s="420"/>
      <c r="C61" s="414"/>
      <c r="D61" s="415"/>
      <c r="F61" s="221"/>
      <c r="G61" s="221"/>
      <c r="H61" s="118"/>
      <c r="I61" s="133">
        <v>0</v>
      </c>
      <c r="J61" s="118"/>
      <c r="K61" s="118">
        <f t="shared" si="6"/>
        <v>0</v>
      </c>
    </row>
    <row r="62" spans="1:11" ht="18" customHeight="1" x14ac:dyDescent="0.2">
      <c r="A62" s="435" t="s">
        <v>101</v>
      </c>
      <c r="B62" s="418"/>
      <c r="C62" s="417"/>
      <c r="D62" s="412"/>
      <c r="F62" s="221"/>
      <c r="G62" s="221"/>
      <c r="H62" s="118"/>
      <c r="I62" s="133">
        <v>0</v>
      </c>
      <c r="J62" s="118"/>
      <c r="K62" s="118">
        <f t="shared" si="6"/>
        <v>0</v>
      </c>
    </row>
    <row r="63" spans="1:11" ht="18" customHeight="1" x14ac:dyDescent="0.2">
      <c r="A63" s="435"/>
      <c r="I63" s="129"/>
    </row>
    <row r="64" spans="1:11" ht="18" customHeight="1" x14ac:dyDescent="0.2">
      <c r="A64" s="435" t="s">
        <v>144</v>
      </c>
      <c r="B64" s="421" t="s">
        <v>145</v>
      </c>
      <c r="E64" s="421" t="s">
        <v>7</v>
      </c>
      <c r="F64" s="221">
        <f t="shared" ref="F64:K64" si="9">SUM(F53:F62)</f>
        <v>0</v>
      </c>
      <c r="G64" s="221">
        <f t="shared" si="9"/>
        <v>0</v>
      </c>
      <c r="H64" s="118">
        <f t="shared" si="9"/>
        <v>1652496</v>
      </c>
      <c r="I64" s="118">
        <f t="shared" si="9"/>
        <v>1418170.3945834772</v>
      </c>
      <c r="J64" s="118">
        <f t="shared" si="9"/>
        <v>0</v>
      </c>
      <c r="K64" s="118">
        <f t="shared" si="9"/>
        <v>3070666.3945834776</v>
      </c>
    </row>
    <row r="65" spans="1:14" ht="18" customHeight="1" x14ac:dyDescent="0.2">
      <c r="F65" s="478"/>
      <c r="G65" s="478"/>
      <c r="H65" s="478"/>
      <c r="I65" s="478"/>
      <c r="J65" s="478"/>
      <c r="K65" s="478"/>
    </row>
    <row r="66" spans="1:14" ht="42.75" customHeight="1" x14ac:dyDescent="0.2">
      <c r="F66" s="479" t="s">
        <v>9</v>
      </c>
      <c r="G66" s="479" t="s">
        <v>37</v>
      </c>
      <c r="H66" s="479" t="s">
        <v>29</v>
      </c>
      <c r="I66" s="479" t="s">
        <v>30</v>
      </c>
      <c r="J66" s="479" t="s">
        <v>33</v>
      </c>
      <c r="K66" s="479" t="s">
        <v>34</v>
      </c>
    </row>
    <row r="67" spans="1:14" ht="18" customHeight="1" x14ac:dyDescent="0.2">
      <c r="A67" s="455" t="s">
        <v>102</v>
      </c>
      <c r="B67" s="421" t="s">
        <v>12</v>
      </c>
      <c r="F67" s="480"/>
      <c r="G67" s="480"/>
      <c r="H67" s="480"/>
      <c r="I67" s="137"/>
      <c r="J67" s="480"/>
      <c r="K67" s="137"/>
    </row>
    <row r="68" spans="1:14" ht="18" customHeight="1" x14ac:dyDescent="0.2">
      <c r="A68" s="435" t="s">
        <v>103</v>
      </c>
      <c r="B68" s="259" t="s">
        <v>52</v>
      </c>
      <c r="F68" s="122">
        <v>4836</v>
      </c>
      <c r="G68" s="122">
        <v>0</v>
      </c>
      <c r="H68" s="122">
        <v>197549.1</v>
      </c>
      <c r="I68" s="133">
        <f t="shared" ref="I68" si="10">H68*$F$114</f>
        <v>169536.43766557425</v>
      </c>
      <c r="J68" s="122">
        <v>0</v>
      </c>
      <c r="K68" s="118">
        <f>(H68+I68)-J68</f>
        <v>367085.53766557423</v>
      </c>
    </row>
    <row r="69" spans="1:14" ht="18" customHeight="1" x14ac:dyDescent="0.2">
      <c r="A69" s="435" t="s">
        <v>104</v>
      </c>
      <c r="B69" s="419" t="s">
        <v>53</v>
      </c>
      <c r="F69" s="122"/>
      <c r="G69" s="122"/>
      <c r="H69" s="122"/>
      <c r="I69" s="133">
        <v>0</v>
      </c>
      <c r="J69" s="122"/>
      <c r="K69" s="118">
        <f>(H69+I69)-J69</f>
        <v>0</v>
      </c>
    </row>
    <row r="70" spans="1:14" ht="18" customHeight="1" x14ac:dyDescent="0.2">
      <c r="A70" s="435" t="s">
        <v>178</v>
      </c>
      <c r="B70" s="420"/>
      <c r="C70" s="414"/>
      <c r="D70" s="415"/>
      <c r="E70" s="421"/>
      <c r="F70" s="422"/>
      <c r="G70" s="422"/>
      <c r="H70" s="423"/>
      <c r="I70" s="133">
        <v>0</v>
      </c>
      <c r="J70" s="423"/>
      <c r="K70" s="118">
        <f>(H70+I70)-J70</f>
        <v>0</v>
      </c>
    </row>
    <row r="71" spans="1:14" ht="18" customHeight="1" x14ac:dyDescent="0.2">
      <c r="A71" s="435" t="s">
        <v>179</v>
      </c>
      <c r="B71" s="420"/>
      <c r="C71" s="414"/>
      <c r="D71" s="415"/>
      <c r="E71" s="421"/>
      <c r="F71" s="422"/>
      <c r="G71" s="422"/>
      <c r="H71" s="423"/>
      <c r="I71" s="133">
        <v>0</v>
      </c>
      <c r="J71" s="423"/>
      <c r="K71" s="118">
        <f>(H71+I71)-J71</f>
        <v>0</v>
      </c>
    </row>
    <row r="72" spans="1:14" ht="18" customHeight="1" x14ac:dyDescent="0.2">
      <c r="A72" s="435" t="s">
        <v>180</v>
      </c>
      <c r="B72" s="424"/>
      <c r="C72" s="425"/>
      <c r="D72" s="426"/>
      <c r="E72" s="421"/>
      <c r="F72" s="221"/>
      <c r="G72" s="221"/>
      <c r="H72" s="118"/>
      <c r="I72" s="133">
        <v>0</v>
      </c>
      <c r="J72" s="118"/>
      <c r="K72" s="118">
        <f>(H72+I72)-J72</f>
        <v>0</v>
      </c>
    </row>
    <row r="73" spans="1:14" ht="18" customHeight="1" x14ac:dyDescent="0.2">
      <c r="A73" s="435"/>
      <c r="B73" s="419"/>
      <c r="E73" s="421"/>
      <c r="F73" s="427"/>
      <c r="G73" s="427"/>
      <c r="H73" s="137"/>
      <c r="I73" s="137"/>
      <c r="J73" s="137"/>
      <c r="K73" s="137"/>
    </row>
    <row r="74" spans="1:14" ht="18" customHeight="1" x14ac:dyDescent="0.2">
      <c r="A74" s="455" t="s">
        <v>146</v>
      </c>
      <c r="B74" s="421" t="s">
        <v>147</v>
      </c>
      <c r="E74" s="421" t="s">
        <v>7</v>
      </c>
      <c r="F74" s="122">
        <f t="shared" ref="F74:K74" si="11">SUM(F68:F72)</f>
        <v>4836</v>
      </c>
      <c r="G74" s="122">
        <f t="shared" si="11"/>
        <v>0</v>
      </c>
      <c r="H74" s="122">
        <f t="shared" si="11"/>
        <v>197549.1</v>
      </c>
      <c r="I74" s="133">
        <f t="shared" si="11"/>
        <v>169536.43766557425</v>
      </c>
      <c r="J74" s="122">
        <f t="shared" si="11"/>
        <v>0</v>
      </c>
      <c r="K74" s="118">
        <f t="shared" si="11"/>
        <v>367085.53766557423</v>
      </c>
    </row>
    <row r="75" spans="1:14" ht="42.75" customHeight="1" x14ac:dyDescent="0.2">
      <c r="F75" s="454" t="s">
        <v>9</v>
      </c>
      <c r="G75" s="454" t="s">
        <v>37</v>
      </c>
      <c r="H75" s="454" t="s">
        <v>29</v>
      </c>
      <c r="I75" s="454" t="s">
        <v>30</v>
      </c>
      <c r="J75" s="454" t="s">
        <v>33</v>
      </c>
      <c r="K75" s="454" t="s">
        <v>34</v>
      </c>
    </row>
    <row r="76" spans="1:14" ht="18" customHeight="1" x14ac:dyDescent="0.2">
      <c r="A76" s="455" t="s">
        <v>105</v>
      </c>
      <c r="B76" s="421" t="s">
        <v>106</v>
      </c>
    </row>
    <row r="77" spans="1:14" ht="18" customHeight="1" x14ac:dyDescent="0.2">
      <c r="A77" s="435" t="s">
        <v>107</v>
      </c>
      <c r="B77" s="419" t="s">
        <v>54</v>
      </c>
      <c r="F77" s="221">
        <v>2.1</v>
      </c>
      <c r="G77" s="221">
        <v>30</v>
      </c>
      <c r="H77" s="118">
        <v>3445.2</v>
      </c>
      <c r="I77" s="133">
        <f t="shared" ref="I77:I79" si="12">H77*$F$114</f>
        <v>2956.6671528518045</v>
      </c>
      <c r="J77" s="118">
        <v>0</v>
      </c>
      <c r="K77" s="118">
        <f>(H77+I77)-J77</f>
        <v>6401.8671528518043</v>
      </c>
      <c r="N77" s="259">
        <v>2.1</v>
      </c>
    </row>
    <row r="78" spans="1:14" ht="18" customHeight="1" x14ac:dyDescent="0.2">
      <c r="A78" s="435" t="s">
        <v>108</v>
      </c>
      <c r="B78" s="419" t="s">
        <v>55</v>
      </c>
      <c r="F78" s="221">
        <v>0</v>
      </c>
      <c r="G78" s="221">
        <v>0</v>
      </c>
      <c r="H78" s="118">
        <v>0</v>
      </c>
      <c r="I78" s="133">
        <f t="shared" si="12"/>
        <v>0</v>
      </c>
      <c r="J78" s="118">
        <v>0</v>
      </c>
      <c r="K78" s="118">
        <f>(H78+I78)-J78</f>
        <v>0</v>
      </c>
      <c r="N78" s="259">
        <v>0</v>
      </c>
    </row>
    <row r="79" spans="1:14" ht="18" customHeight="1" x14ac:dyDescent="0.2">
      <c r="A79" s="435" t="s">
        <v>109</v>
      </c>
      <c r="B79" s="419" t="s">
        <v>13</v>
      </c>
      <c r="F79" s="221">
        <v>545.69999999999993</v>
      </c>
      <c r="G79" s="221">
        <v>631.5</v>
      </c>
      <c r="H79" s="118">
        <v>40959.599999999999</v>
      </c>
      <c r="I79" s="133">
        <f t="shared" si="12"/>
        <v>35151.487261682567</v>
      </c>
      <c r="J79" s="118">
        <v>0</v>
      </c>
      <c r="K79" s="118">
        <f>(H79+I79)-J79</f>
        <v>76111.087261682565</v>
      </c>
      <c r="N79" s="259">
        <v>545.69999999999993</v>
      </c>
    </row>
    <row r="80" spans="1:14" ht="18" customHeight="1" x14ac:dyDescent="0.2">
      <c r="A80" s="435" t="s">
        <v>110</v>
      </c>
      <c r="B80" s="419" t="s">
        <v>56</v>
      </c>
      <c r="F80" s="221"/>
      <c r="G80" s="221"/>
      <c r="H80" s="118"/>
      <c r="I80" s="133">
        <v>0</v>
      </c>
      <c r="J80" s="118"/>
      <c r="K80" s="118">
        <f>(H80+I80)-J80</f>
        <v>0</v>
      </c>
      <c r="N80" s="259">
        <f>SUM(N77:N79)</f>
        <v>547.79999999999995</v>
      </c>
    </row>
    <row r="81" spans="1:14" ht="18" customHeight="1" x14ac:dyDescent="0.2">
      <c r="A81" s="435"/>
      <c r="K81" s="428"/>
    </row>
    <row r="82" spans="1:14" ht="18" customHeight="1" x14ac:dyDescent="0.2">
      <c r="A82" s="435" t="s">
        <v>148</v>
      </c>
      <c r="B82" s="421" t="s">
        <v>149</v>
      </c>
      <c r="E82" s="421" t="s">
        <v>7</v>
      </c>
      <c r="F82" s="122">
        <f t="shared" ref="F82:K82" si="13">SUM(F77:F80)</f>
        <v>547.79999999999995</v>
      </c>
      <c r="G82" s="122">
        <f t="shared" si="13"/>
        <v>661.5</v>
      </c>
      <c r="H82" s="118">
        <f t="shared" si="13"/>
        <v>44404.799999999996</v>
      </c>
      <c r="I82" s="118">
        <f t="shared" si="13"/>
        <v>38108.154414534372</v>
      </c>
      <c r="J82" s="118">
        <f t="shared" si="13"/>
        <v>0</v>
      </c>
      <c r="K82" s="118">
        <f t="shared" si="13"/>
        <v>82512.954414534368</v>
      </c>
      <c r="N82" s="259">
        <f>+F82-N80</f>
        <v>0</v>
      </c>
    </row>
    <row r="83" spans="1:14" ht="18" customHeight="1" thickBot="1" x14ac:dyDescent="0.25">
      <c r="A83" s="435"/>
      <c r="F83" s="469"/>
      <c r="G83" s="469"/>
      <c r="H83" s="469"/>
      <c r="I83" s="469"/>
      <c r="J83" s="469"/>
      <c r="K83" s="469"/>
    </row>
    <row r="84" spans="1:14" ht="42.75" customHeight="1" x14ac:dyDescent="0.2">
      <c r="F84" s="454" t="s">
        <v>9</v>
      </c>
      <c r="G84" s="454" t="s">
        <v>37</v>
      </c>
      <c r="H84" s="454" t="s">
        <v>29</v>
      </c>
      <c r="I84" s="454" t="s">
        <v>30</v>
      </c>
      <c r="J84" s="454" t="s">
        <v>33</v>
      </c>
      <c r="K84" s="454" t="s">
        <v>34</v>
      </c>
    </row>
    <row r="85" spans="1:14" ht="18" customHeight="1" x14ac:dyDescent="0.2">
      <c r="A85" s="455" t="s">
        <v>111</v>
      </c>
      <c r="B85" s="421" t="s">
        <v>57</v>
      </c>
    </row>
    <row r="86" spans="1:14" ht="18" customHeight="1" x14ac:dyDescent="0.2">
      <c r="A86" s="435" t="s">
        <v>112</v>
      </c>
      <c r="B86" s="419" t="s">
        <v>113</v>
      </c>
      <c r="F86" s="221">
        <v>0</v>
      </c>
      <c r="G86" s="221">
        <v>0</v>
      </c>
      <c r="H86" s="118">
        <v>0</v>
      </c>
      <c r="I86" s="133">
        <f t="shared" ref="I86:I96" si="14">H86*F$114</f>
        <v>0</v>
      </c>
      <c r="J86" s="118">
        <v>0</v>
      </c>
      <c r="K86" s="118">
        <f t="shared" ref="K86:K96" si="15">(H86+I86)-J86</f>
        <v>0</v>
      </c>
      <c r="N86" s="259">
        <v>0</v>
      </c>
    </row>
    <row r="87" spans="1:14" ht="18" customHeight="1" x14ac:dyDescent="0.2">
      <c r="A87" s="435" t="s">
        <v>114</v>
      </c>
      <c r="B87" s="419" t="s">
        <v>14</v>
      </c>
      <c r="F87" s="221">
        <v>6</v>
      </c>
      <c r="G87" s="221">
        <v>0</v>
      </c>
      <c r="H87" s="118">
        <v>750</v>
      </c>
      <c r="I87" s="133">
        <f t="shared" si="14"/>
        <v>643.64924086812186</v>
      </c>
      <c r="J87" s="118">
        <v>0</v>
      </c>
      <c r="K87" s="118">
        <f t="shared" si="15"/>
        <v>1393.649240868122</v>
      </c>
      <c r="N87" s="259">
        <v>6.6</v>
      </c>
    </row>
    <row r="88" spans="1:14" ht="18" customHeight="1" x14ac:dyDescent="0.2">
      <c r="A88" s="435" t="s">
        <v>115</v>
      </c>
      <c r="B88" s="419" t="s">
        <v>116</v>
      </c>
      <c r="F88" s="221">
        <v>11</v>
      </c>
      <c r="G88" s="221">
        <v>0</v>
      </c>
      <c r="H88" s="118">
        <v>444</v>
      </c>
      <c r="I88" s="133">
        <f t="shared" si="14"/>
        <v>381.04035059392817</v>
      </c>
      <c r="J88" s="118">
        <v>0</v>
      </c>
      <c r="K88" s="118">
        <f t="shared" si="15"/>
        <v>825.04035059392822</v>
      </c>
      <c r="N88" s="259">
        <v>10.799999999999999</v>
      </c>
    </row>
    <row r="89" spans="1:14" ht="18" customHeight="1" x14ac:dyDescent="0.2">
      <c r="A89" s="435" t="s">
        <v>117</v>
      </c>
      <c r="B89" s="419" t="s">
        <v>58</v>
      </c>
      <c r="F89" s="221">
        <v>0</v>
      </c>
      <c r="G89" s="221">
        <v>0</v>
      </c>
      <c r="H89" s="118">
        <v>0</v>
      </c>
      <c r="I89" s="133">
        <f t="shared" si="14"/>
        <v>0</v>
      </c>
      <c r="J89" s="118">
        <v>0</v>
      </c>
      <c r="K89" s="118">
        <f t="shared" si="15"/>
        <v>0</v>
      </c>
      <c r="N89" s="259">
        <v>0</v>
      </c>
    </row>
    <row r="90" spans="1:14" ht="18" customHeight="1" x14ac:dyDescent="0.2">
      <c r="A90" s="435" t="s">
        <v>118</v>
      </c>
      <c r="B90" s="465" t="s">
        <v>59</v>
      </c>
      <c r="C90" s="466"/>
      <c r="F90" s="221">
        <v>20</v>
      </c>
      <c r="G90" s="221">
        <v>12</v>
      </c>
      <c r="H90" s="118">
        <v>2327</v>
      </c>
      <c r="I90" s="133">
        <f t="shared" si="14"/>
        <v>1997.0290446668262</v>
      </c>
      <c r="J90" s="118">
        <v>0</v>
      </c>
      <c r="K90" s="118">
        <f t="shared" si="15"/>
        <v>4324.0290446668259</v>
      </c>
      <c r="N90" s="259">
        <v>19.8</v>
      </c>
    </row>
    <row r="91" spans="1:14" ht="18" customHeight="1" x14ac:dyDescent="0.2">
      <c r="A91" s="435" t="s">
        <v>119</v>
      </c>
      <c r="B91" s="419" t="s">
        <v>60</v>
      </c>
      <c r="F91" s="221">
        <v>1388</v>
      </c>
      <c r="G91" s="221">
        <v>185</v>
      </c>
      <c r="H91" s="118">
        <v>55446</v>
      </c>
      <c r="I91" s="133">
        <f t="shared" si="14"/>
        <v>47583.701078898514</v>
      </c>
      <c r="J91" s="118">
        <v>0</v>
      </c>
      <c r="K91" s="118">
        <f t="shared" si="15"/>
        <v>103029.70107889851</v>
      </c>
      <c r="N91" s="259">
        <v>1387.5</v>
      </c>
    </row>
    <row r="92" spans="1:14" ht="18" customHeight="1" x14ac:dyDescent="0.2">
      <c r="A92" s="435" t="s">
        <v>120</v>
      </c>
      <c r="B92" s="419" t="s">
        <v>121</v>
      </c>
      <c r="F92" s="257">
        <v>0</v>
      </c>
      <c r="G92" s="257">
        <v>0</v>
      </c>
      <c r="H92" s="429">
        <v>0</v>
      </c>
      <c r="I92" s="133">
        <f t="shared" si="14"/>
        <v>0</v>
      </c>
      <c r="J92" s="429">
        <v>0</v>
      </c>
      <c r="K92" s="118">
        <f t="shared" si="15"/>
        <v>0</v>
      </c>
      <c r="N92" s="259">
        <v>0</v>
      </c>
    </row>
    <row r="93" spans="1:14" ht="18" customHeight="1" x14ac:dyDescent="0.2">
      <c r="A93" s="435" t="s">
        <v>122</v>
      </c>
      <c r="B93" s="419" t="s">
        <v>123</v>
      </c>
      <c r="F93" s="221">
        <v>12</v>
      </c>
      <c r="G93" s="221">
        <v>0</v>
      </c>
      <c r="H93" s="118">
        <v>609</v>
      </c>
      <c r="I93" s="133">
        <f t="shared" si="14"/>
        <v>522.64318358491494</v>
      </c>
      <c r="J93" s="118">
        <v>0</v>
      </c>
      <c r="K93" s="118">
        <f t="shared" si="15"/>
        <v>1131.6431835849148</v>
      </c>
      <c r="N93" s="259">
        <v>12</v>
      </c>
    </row>
    <row r="94" spans="1:14" ht="18" customHeight="1" x14ac:dyDescent="0.2">
      <c r="A94" s="435" t="s">
        <v>124</v>
      </c>
      <c r="B94" s="418"/>
      <c r="C94" s="417"/>
      <c r="D94" s="412"/>
      <c r="F94" s="221"/>
      <c r="G94" s="221"/>
      <c r="H94" s="118"/>
      <c r="I94" s="133">
        <f t="shared" si="14"/>
        <v>0</v>
      </c>
      <c r="J94" s="118"/>
      <c r="K94" s="118">
        <f t="shared" si="15"/>
        <v>0</v>
      </c>
      <c r="N94" s="259">
        <f>SUM(N86:N93)</f>
        <v>1436.7</v>
      </c>
    </row>
    <row r="95" spans="1:14" ht="18" customHeight="1" x14ac:dyDescent="0.2">
      <c r="A95" s="435" t="s">
        <v>125</v>
      </c>
      <c r="B95" s="418"/>
      <c r="C95" s="417"/>
      <c r="D95" s="412"/>
      <c r="F95" s="221"/>
      <c r="G95" s="221"/>
      <c r="H95" s="118"/>
      <c r="I95" s="133">
        <f t="shared" si="14"/>
        <v>0</v>
      </c>
      <c r="J95" s="118"/>
      <c r="K95" s="118">
        <f t="shared" si="15"/>
        <v>0</v>
      </c>
    </row>
    <row r="96" spans="1:14" ht="18" customHeight="1" x14ac:dyDescent="0.2">
      <c r="A96" s="435" t="s">
        <v>126</v>
      </c>
      <c r="B96" s="418"/>
      <c r="C96" s="417"/>
      <c r="D96" s="412"/>
      <c r="F96" s="221"/>
      <c r="G96" s="221"/>
      <c r="H96" s="118"/>
      <c r="I96" s="133">
        <f t="shared" si="14"/>
        <v>0</v>
      </c>
      <c r="J96" s="118"/>
      <c r="K96" s="118">
        <f t="shared" si="15"/>
        <v>0</v>
      </c>
    </row>
    <row r="97" spans="1:14" ht="18" customHeight="1" x14ac:dyDescent="0.2">
      <c r="A97" s="435"/>
      <c r="B97" s="419"/>
    </row>
    <row r="98" spans="1:14" ht="18" customHeight="1" x14ac:dyDescent="0.2">
      <c r="A98" s="455" t="s">
        <v>150</v>
      </c>
      <c r="B98" s="421" t="s">
        <v>151</v>
      </c>
      <c r="E98" s="421" t="s">
        <v>7</v>
      </c>
      <c r="F98" s="221">
        <f t="shared" ref="F98:K98" si="16">SUM(F86:F96)</f>
        <v>1437</v>
      </c>
      <c r="G98" s="221">
        <f t="shared" si="16"/>
        <v>197</v>
      </c>
      <c r="H98" s="221">
        <f t="shared" si="16"/>
        <v>59576</v>
      </c>
      <c r="I98" s="221">
        <f t="shared" si="16"/>
        <v>51128.062898612305</v>
      </c>
      <c r="J98" s="221">
        <f t="shared" si="16"/>
        <v>0</v>
      </c>
      <c r="K98" s="221">
        <f t="shared" si="16"/>
        <v>110704.0628986123</v>
      </c>
      <c r="N98" s="499">
        <f>+F98-N94</f>
        <v>0.29999999999995453</v>
      </c>
    </row>
    <row r="99" spans="1:14" ht="18" customHeight="1" thickBot="1" x14ac:dyDescent="0.25">
      <c r="B99" s="421"/>
      <c r="F99" s="469"/>
      <c r="G99" s="469"/>
      <c r="H99" s="469"/>
      <c r="I99" s="469"/>
      <c r="J99" s="469"/>
      <c r="K99" s="469"/>
    </row>
    <row r="100" spans="1:14" ht="42.75" customHeight="1" x14ac:dyDescent="0.2">
      <c r="F100" s="454" t="s">
        <v>9</v>
      </c>
      <c r="G100" s="454" t="s">
        <v>37</v>
      </c>
      <c r="H100" s="454" t="s">
        <v>29</v>
      </c>
      <c r="I100" s="454" t="s">
        <v>30</v>
      </c>
      <c r="J100" s="454" t="s">
        <v>33</v>
      </c>
      <c r="K100" s="454" t="s">
        <v>34</v>
      </c>
    </row>
    <row r="101" spans="1:14" ht="18" customHeight="1" x14ac:dyDescent="0.2">
      <c r="A101" s="455" t="s">
        <v>130</v>
      </c>
      <c r="B101" s="421" t="s">
        <v>63</v>
      </c>
    </row>
    <row r="102" spans="1:14" ht="18" customHeight="1" x14ac:dyDescent="0.2">
      <c r="A102" s="435" t="s">
        <v>131</v>
      </c>
      <c r="B102" s="419" t="s">
        <v>152</v>
      </c>
      <c r="F102" s="221">
        <v>936</v>
      </c>
      <c r="G102" s="221">
        <v>0</v>
      </c>
      <c r="H102" s="118">
        <v>34779</v>
      </c>
      <c r="I102" s="133">
        <f>H102*F$114</f>
        <v>29847.302597536545</v>
      </c>
      <c r="J102" s="118">
        <v>0</v>
      </c>
      <c r="K102" s="118">
        <f>(H102+I102)-J102</f>
        <v>64626.302597536545</v>
      </c>
    </row>
    <row r="103" spans="1:14" ht="18" customHeight="1" x14ac:dyDescent="0.2">
      <c r="A103" s="435" t="s">
        <v>132</v>
      </c>
      <c r="B103" s="465" t="s">
        <v>62</v>
      </c>
      <c r="C103" s="465"/>
      <c r="F103" s="221"/>
      <c r="G103" s="221"/>
      <c r="H103" s="118"/>
      <c r="I103" s="133">
        <f>H103*F$114</f>
        <v>0</v>
      </c>
      <c r="J103" s="118"/>
      <c r="K103" s="118">
        <f>(H103+I103)-J103</f>
        <v>0</v>
      </c>
    </row>
    <row r="104" spans="1:14" ht="18" customHeight="1" x14ac:dyDescent="0.2">
      <c r="A104" s="435" t="s">
        <v>128</v>
      </c>
      <c r="B104" s="418"/>
      <c r="C104" s="417"/>
      <c r="D104" s="412"/>
      <c r="F104" s="221"/>
      <c r="G104" s="221"/>
      <c r="H104" s="118"/>
      <c r="I104" s="133">
        <f>H104*F$114</f>
        <v>0</v>
      </c>
      <c r="J104" s="118"/>
      <c r="K104" s="118">
        <f>(H104+I104)-J104</f>
        <v>0</v>
      </c>
    </row>
    <row r="105" spans="1:14" ht="18" customHeight="1" x14ac:dyDescent="0.2">
      <c r="A105" s="435" t="s">
        <v>127</v>
      </c>
      <c r="B105" s="418"/>
      <c r="C105" s="417"/>
      <c r="D105" s="412"/>
      <c r="F105" s="221"/>
      <c r="G105" s="221"/>
      <c r="H105" s="118"/>
      <c r="I105" s="133">
        <f>H105*F$114</f>
        <v>0</v>
      </c>
      <c r="J105" s="118"/>
      <c r="K105" s="118">
        <f>(H105+I105)-J105</f>
        <v>0</v>
      </c>
    </row>
    <row r="106" spans="1:14" ht="18" customHeight="1" x14ac:dyDescent="0.2">
      <c r="A106" s="435" t="s">
        <v>129</v>
      </c>
      <c r="B106" s="418"/>
      <c r="C106" s="417"/>
      <c r="D106" s="412"/>
      <c r="F106" s="221"/>
      <c r="G106" s="221"/>
      <c r="H106" s="118"/>
      <c r="I106" s="133">
        <f>H106*F$114</f>
        <v>0</v>
      </c>
      <c r="J106" s="118"/>
      <c r="K106" s="118">
        <f>(H106+I106)-J106</f>
        <v>0</v>
      </c>
    </row>
    <row r="107" spans="1:14" ht="18" customHeight="1" x14ac:dyDescent="0.2">
      <c r="B107" s="421"/>
    </row>
    <row r="108" spans="1:14" s="468" customFormat="1" ht="18" customHeight="1" x14ac:dyDescent="0.2">
      <c r="A108" s="455" t="s">
        <v>153</v>
      </c>
      <c r="B108" s="481" t="s">
        <v>154</v>
      </c>
      <c r="C108" s="259"/>
      <c r="D108" s="259"/>
      <c r="E108" s="421" t="s">
        <v>7</v>
      </c>
      <c r="F108" s="221">
        <f t="shared" ref="F108:K108" si="17">SUM(F102:F106)</f>
        <v>936</v>
      </c>
      <c r="G108" s="221">
        <f t="shared" si="17"/>
        <v>0</v>
      </c>
      <c r="H108" s="118">
        <f t="shared" si="17"/>
        <v>34779</v>
      </c>
      <c r="I108" s="118">
        <f t="shared" si="17"/>
        <v>29847.302597536545</v>
      </c>
      <c r="J108" s="118">
        <f t="shared" si="17"/>
        <v>0</v>
      </c>
      <c r="K108" s="118">
        <f t="shared" si="17"/>
        <v>64626.302597536545</v>
      </c>
    </row>
    <row r="109" spans="1:14" s="468" customFormat="1" ht="18" customHeight="1" thickBot="1" x14ac:dyDescent="0.25">
      <c r="A109" s="482"/>
      <c r="B109" s="483"/>
      <c r="C109" s="484"/>
      <c r="D109" s="484"/>
      <c r="E109" s="484"/>
      <c r="F109" s="469"/>
      <c r="G109" s="469"/>
      <c r="H109" s="469"/>
      <c r="I109" s="469"/>
      <c r="J109" s="469"/>
      <c r="K109" s="469"/>
    </row>
    <row r="110" spans="1:14" s="468" customFormat="1" ht="18" customHeight="1" x14ac:dyDescent="0.2">
      <c r="A110" s="455" t="s">
        <v>156</v>
      </c>
      <c r="B110" s="421" t="s">
        <v>39</v>
      </c>
      <c r="C110" s="259"/>
      <c r="D110" s="259"/>
      <c r="E110" s="259"/>
      <c r="F110" s="259"/>
      <c r="G110" s="259"/>
      <c r="H110" s="259"/>
      <c r="I110" s="259"/>
      <c r="J110" s="259"/>
      <c r="K110" s="259"/>
    </row>
    <row r="111" spans="1:14" ht="18" customHeight="1" x14ac:dyDescent="0.2">
      <c r="A111" s="455" t="s">
        <v>155</v>
      </c>
      <c r="B111" s="421" t="s">
        <v>164</v>
      </c>
      <c r="E111" s="421" t="s">
        <v>7</v>
      </c>
      <c r="F111" s="118">
        <v>1903000</v>
      </c>
    </row>
    <row r="112" spans="1:14"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500">
        <v>0.85819898782416248</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87577800</v>
      </c>
    </row>
    <row r="118" spans="1:6" ht="18" customHeight="1" x14ac:dyDescent="0.2">
      <c r="A118" s="435" t="s">
        <v>173</v>
      </c>
      <c r="B118" s="259" t="s">
        <v>18</v>
      </c>
      <c r="F118" s="118">
        <v>1134000</v>
      </c>
    </row>
    <row r="119" spans="1:6" ht="18" customHeight="1" x14ac:dyDescent="0.2">
      <c r="A119" s="435" t="s">
        <v>174</v>
      </c>
      <c r="B119" s="421" t="s">
        <v>19</v>
      </c>
      <c r="F119" s="118">
        <f>SUM(F117:F118)</f>
        <v>88711800</v>
      </c>
    </row>
    <row r="120" spans="1:6" ht="18" customHeight="1" x14ac:dyDescent="0.2">
      <c r="A120" s="435"/>
      <c r="B120" s="421"/>
    </row>
    <row r="121" spans="1:6" ht="18" customHeight="1" x14ac:dyDescent="0.2">
      <c r="A121" s="435" t="s">
        <v>167</v>
      </c>
      <c r="B121" s="421" t="s">
        <v>36</v>
      </c>
      <c r="F121" s="118">
        <v>87719000</v>
      </c>
    </row>
    <row r="122" spans="1:6" ht="18" customHeight="1" x14ac:dyDescent="0.2">
      <c r="A122" s="435"/>
    </row>
    <row r="123" spans="1:6" ht="18" customHeight="1" x14ac:dyDescent="0.2">
      <c r="A123" s="435" t="s">
        <v>175</v>
      </c>
      <c r="B123" s="421" t="s">
        <v>20</v>
      </c>
      <c r="F123" s="118">
        <v>992800</v>
      </c>
    </row>
    <row r="124" spans="1:6" ht="18" customHeight="1" x14ac:dyDescent="0.2">
      <c r="A124" s="435"/>
    </row>
    <row r="125" spans="1:6" ht="18" customHeight="1" x14ac:dyDescent="0.2">
      <c r="A125" s="435" t="s">
        <v>176</v>
      </c>
      <c r="B125" s="421" t="s">
        <v>21</v>
      </c>
      <c r="F125" s="118">
        <v>4960000</v>
      </c>
    </row>
    <row r="126" spans="1:6" ht="18" customHeight="1" x14ac:dyDescent="0.2">
      <c r="A126" s="435"/>
    </row>
    <row r="127" spans="1:6" ht="18" customHeight="1" x14ac:dyDescent="0.2">
      <c r="A127" s="435" t="s">
        <v>177</v>
      </c>
      <c r="B127" s="421" t="s">
        <v>22</v>
      </c>
      <c r="F127" s="118">
        <v>5952800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v>147</v>
      </c>
      <c r="G131" s="221">
        <v>1524</v>
      </c>
      <c r="H131" s="118">
        <v>5452</v>
      </c>
      <c r="I131" s="133">
        <f>H131*F114</f>
        <v>4678.9008816173337</v>
      </c>
      <c r="J131" s="118">
        <v>0</v>
      </c>
      <c r="K131" s="118">
        <f>(H131+I131)-J131</f>
        <v>10130.900881617334</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8">SUM(F131:F135)</f>
        <v>147</v>
      </c>
      <c r="G137" s="221">
        <f t="shared" si="18"/>
        <v>1524</v>
      </c>
      <c r="H137" s="118">
        <f t="shared" si="18"/>
        <v>5452</v>
      </c>
      <c r="I137" s="118">
        <f t="shared" si="18"/>
        <v>4678.9008816173337</v>
      </c>
      <c r="J137" s="118">
        <f t="shared" si="18"/>
        <v>0</v>
      </c>
      <c r="K137" s="118">
        <f t="shared" si="18"/>
        <v>10130.900881617334</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9">F36</f>
        <v>6521.4000000000005</v>
      </c>
      <c r="G141" s="422">
        <f t="shared" si="19"/>
        <v>86774.599999999991</v>
      </c>
      <c r="H141" s="422">
        <f t="shared" si="19"/>
        <v>640366.5</v>
      </c>
      <c r="I141" s="422">
        <f t="shared" si="19"/>
        <v>549561.88213650137</v>
      </c>
      <c r="J141" s="422">
        <f t="shared" si="19"/>
        <v>39137.4</v>
      </c>
      <c r="K141" s="422">
        <f t="shared" si="19"/>
        <v>1150790.9821365015</v>
      </c>
    </row>
    <row r="142" spans="1:11" ht="18" customHeight="1" x14ac:dyDescent="0.2">
      <c r="A142" s="435" t="s">
        <v>142</v>
      </c>
      <c r="B142" s="421" t="s">
        <v>65</v>
      </c>
      <c r="F142" s="422">
        <f t="shared" ref="F142:K142" si="20">F49</f>
        <v>7152.2999999999993</v>
      </c>
      <c r="G142" s="422">
        <f t="shared" si="20"/>
        <v>0</v>
      </c>
      <c r="H142" s="422">
        <f t="shared" si="20"/>
        <v>327189.3</v>
      </c>
      <c r="I142" s="422">
        <f t="shared" si="20"/>
        <v>280793.52608689625</v>
      </c>
      <c r="J142" s="422">
        <f t="shared" si="20"/>
        <v>0</v>
      </c>
      <c r="K142" s="422">
        <f t="shared" si="20"/>
        <v>607982.82608689624</v>
      </c>
    </row>
    <row r="143" spans="1:11" ht="18" customHeight="1" x14ac:dyDescent="0.2">
      <c r="A143" s="435" t="s">
        <v>144</v>
      </c>
      <c r="B143" s="421" t="s">
        <v>66</v>
      </c>
      <c r="F143" s="422">
        <f t="shared" ref="F143:K143" si="21">F64</f>
        <v>0</v>
      </c>
      <c r="G143" s="422">
        <f t="shared" si="21"/>
        <v>0</v>
      </c>
      <c r="H143" s="422">
        <f t="shared" si="21"/>
        <v>1652496</v>
      </c>
      <c r="I143" s="422">
        <f t="shared" si="21"/>
        <v>1418170.3945834772</v>
      </c>
      <c r="J143" s="422">
        <f t="shared" si="21"/>
        <v>0</v>
      </c>
      <c r="K143" s="422">
        <f t="shared" si="21"/>
        <v>3070666.3945834776</v>
      </c>
    </row>
    <row r="144" spans="1:11" ht="18" customHeight="1" x14ac:dyDescent="0.2">
      <c r="A144" s="435" t="s">
        <v>146</v>
      </c>
      <c r="B144" s="421" t="s">
        <v>67</v>
      </c>
      <c r="F144" s="422">
        <f t="shared" ref="F144:K144" si="22">F74</f>
        <v>4836</v>
      </c>
      <c r="G144" s="422">
        <f t="shared" si="22"/>
        <v>0</v>
      </c>
      <c r="H144" s="422">
        <f t="shared" si="22"/>
        <v>197549.1</v>
      </c>
      <c r="I144" s="422">
        <f t="shared" si="22"/>
        <v>169536.43766557425</v>
      </c>
      <c r="J144" s="422">
        <f t="shared" si="22"/>
        <v>0</v>
      </c>
      <c r="K144" s="422">
        <f t="shared" si="22"/>
        <v>367085.53766557423</v>
      </c>
    </row>
    <row r="145" spans="1:11" ht="18" customHeight="1" x14ac:dyDescent="0.2">
      <c r="A145" s="435" t="s">
        <v>148</v>
      </c>
      <c r="B145" s="421" t="s">
        <v>68</v>
      </c>
      <c r="F145" s="422">
        <f t="shared" ref="F145:K145" si="23">F82</f>
        <v>547.79999999999995</v>
      </c>
      <c r="G145" s="422">
        <f t="shared" si="23"/>
        <v>661.5</v>
      </c>
      <c r="H145" s="422">
        <f t="shared" si="23"/>
        <v>44404.799999999996</v>
      </c>
      <c r="I145" s="422">
        <f t="shared" si="23"/>
        <v>38108.154414534372</v>
      </c>
      <c r="J145" s="422">
        <f t="shared" si="23"/>
        <v>0</v>
      </c>
      <c r="K145" s="422">
        <f t="shared" si="23"/>
        <v>82512.954414534368</v>
      </c>
    </row>
    <row r="146" spans="1:11" ht="18" customHeight="1" x14ac:dyDescent="0.2">
      <c r="A146" s="435" t="s">
        <v>150</v>
      </c>
      <c r="B146" s="421" t="s">
        <v>69</v>
      </c>
      <c r="F146" s="422">
        <f t="shared" ref="F146:K146" si="24">F98</f>
        <v>1437</v>
      </c>
      <c r="G146" s="422">
        <f t="shared" si="24"/>
        <v>197</v>
      </c>
      <c r="H146" s="422">
        <f t="shared" si="24"/>
        <v>59576</v>
      </c>
      <c r="I146" s="422">
        <f t="shared" si="24"/>
        <v>51128.062898612305</v>
      </c>
      <c r="J146" s="422">
        <f t="shared" si="24"/>
        <v>0</v>
      </c>
      <c r="K146" s="422">
        <f t="shared" si="24"/>
        <v>110704.0628986123</v>
      </c>
    </row>
    <row r="147" spans="1:11" ht="18" customHeight="1" x14ac:dyDescent="0.2">
      <c r="A147" s="435" t="s">
        <v>153</v>
      </c>
      <c r="B147" s="421" t="s">
        <v>61</v>
      </c>
      <c r="F147" s="221">
        <f t="shared" ref="F147:K147" si="25">F108</f>
        <v>936</v>
      </c>
      <c r="G147" s="221">
        <f t="shared" si="25"/>
        <v>0</v>
      </c>
      <c r="H147" s="221">
        <f t="shared" si="25"/>
        <v>34779</v>
      </c>
      <c r="I147" s="221">
        <f t="shared" si="25"/>
        <v>29847.302597536545</v>
      </c>
      <c r="J147" s="221">
        <f t="shared" si="25"/>
        <v>0</v>
      </c>
      <c r="K147" s="221">
        <f t="shared" si="25"/>
        <v>64626.302597536545</v>
      </c>
    </row>
    <row r="148" spans="1:11" ht="18" customHeight="1" x14ac:dyDescent="0.2">
      <c r="A148" s="435" t="s">
        <v>155</v>
      </c>
      <c r="B148" s="421" t="s">
        <v>70</v>
      </c>
      <c r="F148" s="485" t="s">
        <v>73</v>
      </c>
      <c r="G148" s="485" t="s">
        <v>73</v>
      </c>
      <c r="H148" s="486" t="s">
        <v>73</v>
      </c>
      <c r="I148" s="486" t="s">
        <v>73</v>
      </c>
      <c r="J148" s="486" t="s">
        <v>73</v>
      </c>
      <c r="K148" s="423">
        <f>F111</f>
        <v>1903000</v>
      </c>
    </row>
    <row r="149" spans="1:11" ht="18" customHeight="1" x14ac:dyDescent="0.2">
      <c r="A149" s="435" t="s">
        <v>163</v>
      </c>
      <c r="B149" s="421" t="s">
        <v>71</v>
      </c>
      <c r="F149" s="221">
        <f t="shared" ref="F149:K149" si="26">F137</f>
        <v>147</v>
      </c>
      <c r="G149" s="221">
        <f t="shared" si="26"/>
        <v>1524</v>
      </c>
      <c r="H149" s="221">
        <f t="shared" si="26"/>
        <v>5452</v>
      </c>
      <c r="I149" s="221">
        <f t="shared" si="26"/>
        <v>4678.9008816173337</v>
      </c>
      <c r="J149" s="221">
        <f t="shared" si="26"/>
        <v>0</v>
      </c>
      <c r="K149" s="221">
        <f t="shared" si="26"/>
        <v>10130.900881617334</v>
      </c>
    </row>
    <row r="150" spans="1:11" ht="18" customHeight="1" x14ac:dyDescent="0.2">
      <c r="A150" s="435" t="s">
        <v>185</v>
      </c>
      <c r="B150" s="421" t="s">
        <v>186</v>
      </c>
      <c r="F150" s="485" t="s">
        <v>73</v>
      </c>
      <c r="G150" s="485" t="s">
        <v>73</v>
      </c>
      <c r="H150" s="221">
        <f>H18</f>
        <v>2289276.0599365905</v>
      </c>
      <c r="I150" s="221">
        <f>I18</f>
        <v>0</v>
      </c>
      <c r="J150" s="221">
        <f>J18</f>
        <v>1934890.0140105826</v>
      </c>
      <c r="K150" s="221">
        <f>K18</f>
        <v>354386.04592600791</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7">SUM(F141:F150)</f>
        <v>21577.5</v>
      </c>
      <c r="G152" s="487">
        <f t="shared" si="27"/>
        <v>89157.099999999991</v>
      </c>
      <c r="H152" s="487">
        <f t="shared" si="27"/>
        <v>5251088.7599365897</v>
      </c>
      <c r="I152" s="487">
        <f t="shared" si="27"/>
        <v>2541824.6612647497</v>
      </c>
      <c r="J152" s="487">
        <f t="shared" si="27"/>
        <v>1974027.4140105825</v>
      </c>
      <c r="K152" s="487">
        <f t="shared" si="27"/>
        <v>7721886.0071907584</v>
      </c>
    </row>
    <row r="154" spans="1:11" ht="18" customHeight="1" x14ac:dyDescent="0.2">
      <c r="A154" s="455" t="s">
        <v>168</v>
      </c>
      <c r="B154" s="421" t="s">
        <v>28</v>
      </c>
      <c r="F154" s="140">
        <f>K152/F121</f>
        <v>8.8029799783293908E-2</v>
      </c>
    </row>
    <row r="155" spans="1:11" ht="18" customHeight="1" x14ac:dyDescent="0.2">
      <c r="A155" s="455" t="s">
        <v>169</v>
      </c>
      <c r="B155" s="421" t="s">
        <v>72</v>
      </c>
      <c r="F155" s="140">
        <f>K152/F127</f>
        <v>1.2971855273469222</v>
      </c>
      <c r="G155" s="421"/>
    </row>
    <row r="156" spans="1:11" ht="18" customHeight="1" x14ac:dyDescent="0.2">
      <c r="G156" s="421"/>
    </row>
  </sheetData>
  <sheetProtection algorithmName="SHA-512" hashValue="8OIR8IJ6RoxMCd4E+bW4pk/2PK+XRNoHBK6dESjAmopKxH/zgRRmR3Oy62ttqnHAeB2zXPki2UOSqwHPwA2n9w==" saltValue="65eU7Bs3Epsd/KbpTk0WGg=="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156"/>
  <sheetViews>
    <sheetView showGridLines="0" zoomScale="70" zoomScaleNormal="70" zoomScaleSheetLayoutView="80" workbookViewId="0">
      <selection activeCell="R39" sqref="R39"/>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502" customWidth="1"/>
    <col min="9" max="9" width="21.140625" style="502" customWidth="1"/>
    <col min="10" max="10" width="19.85546875" style="502" customWidth="1"/>
    <col min="11" max="11" width="17.5703125" style="502" customWidth="1"/>
    <col min="12" max="16384" width="9.140625" style="259"/>
  </cols>
  <sheetData>
    <row r="1" spans="1:11" ht="18" customHeight="1" x14ac:dyDescent="0.2">
      <c r="C1" s="431"/>
      <c r="D1" s="432"/>
      <c r="E1" s="431"/>
      <c r="F1" s="431"/>
      <c r="G1" s="431"/>
      <c r="H1" s="501"/>
      <c r="I1" s="501"/>
      <c r="J1" s="501"/>
      <c r="K1" s="50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703</v>
      </c>
      <c r="D5" s="437"/>
      <c r="E5" s="437"/>
      <c r="F5" s="437"/>
      <c r="G5" s="438"/>
    </row>
    <row r="6" spans="1:11" ht="18" customHeight="1" x14ac:dyDescent="0.2">
      <c r="B6" s="435" t="s">
        <v>3</v>
      </c>
      <c r="C6" s="439" t="s">
        <v>335</v>
      </c>
      <c r="D6" s="440"/>
      <c r="E6" s="440"/>
      <c r="F6" s="440"/>
      <c r="G6" s="441"/>
    </row>
    <row r="7" spans="1:11" ht="18" customHeight="1" x14ac:dyDescent="0.2">
      <c r="B7" s="435" t="s">
        <v>4</v>
      </c>
      <c r="C7" s="398">
        <v>3551</v>
      </c>
      <c r="D7" s="399"/>
      <c r="E7" s="399"/>
      <c r="F7" s="399"/>
      <c r="G7" s="400"/>
    </row>
    <row r="9" spans="1:11" ht="18" customHeight="1" x14ac:dyDescent="0.2">
      <c r="B9" s="435" t="s">
        <v>1</v>
      </c>
      <c r="C9" s="436" t="s">
        <v>336</v>
      </c>
      <c r="D9" s="437"/>
      <c r="E9" s="437"/>
      <c r="F9" s="437"/>
      <c r="G9" s="438"/>
    </row>
    <row r="10" spans="1:11" ht="18" customHeight="1" x14ac:dyDescent="0.2">
      <c r="B10" s="435" t="s">
        <v>2</v>
      </c>
      <c r="C10" s="445" t="s">
        <v>539</v>
      </c>
      <c r="D10" s="446"/>
      <c r="E10" s="446"/>
      <c r="F10" s="446"/>
      <c r="G10" s="447"/>
    </row>
    <row r="11" spans="1:11" ht="18" customHeight="1" x14ac:dyDescent="0.2">
      <c r="B11" s="435" t="s">
        <v>32</v>
      </c>
      <c r="C11" s="495" t="s">
        <v>337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50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503" t="s">
        <v>29</v>
      </c>
      <c r="I16" s="503" t="s">
        <v>30</v>
      </c>
      <c r="J16" s="503" t="s">
        <v>33</v>
      </c>
      <c r="K16" s="503" t="s">
        <v>34</v>
      </c>
    </row>
    <row r="17" spans="1:11" ht="18" customHeight="1" x14ac:dyDescent="0.2">
      <c r="A17" s="455" t="s">
        <v>184</v>
      </c>
      <c r="B17" s="421" t="s">
        <v>182</v>
      </c>
    </row>
    <row r="18" spans="1:11" ht="18" customHeight="1" x14ac:dyDescent="0.2">
      <c r="A18" s="435" t="s">
        <v>185</v>
      </c>
      <c r="B18" s="419" t="s">
        <v>183</v>
      </c>
      <c r="F18" s="221" t="s">
        <v>73</v>
      </c>
      <c r="G18" s="221" t="s">
        <v>73</v>
      </c>
      <c r="H18" s="246">
        <v>11638434</v>
      </c>
      <c r="I18" s="247">
        <v>0</v>
      </c>
      <c r="J18" s="246">
        <v>9836773</v>
      </c>
      <c r="K18" s="246">
        <f>(H18+I18)-J18</f>
        <v>1801661</v>
      </c>
    </row>
    <row r="19" spans="1:11" ht="45" customHeight="1" x14ac:dyDescent="0.2">
      <c r="A19" s="432" t="s">
        <v>8</v>
      </c>
      <c r="B19" s="431"/>
      <c r="C19" s="431"/>
      <c r="D19" s="431"/>
      <c r="E19" s="431"/>
      <c r="F19" s="454" t="s">
        <v>9</v>
      </c>
      <c r="G19" s="454" t="s">
        <v>37</v>
      </c>
      <c r="H19" s="503" t="s">
        <v>29</v>
      </c>
      <c r="I19" s="503" t="s">
        <v>30</v>
      </c>
      <c r="J19" s="503" t="s">
        <v>33</v>
      </c>
      <c r="K19" s="503" t="s">
        <v>34</v>
      </c>
    </row>
    <row r="20" spans="1:11" ht="18" customHeight="1" x14ac:dyDescent="0.2">
      <c r="A20" s="455" t="s">
        <v>74</v>
      </c>
      <c r="B20" s="421" t="s">
        <v>41</v>
      </c>
    </row>
    <row r="21" spans="1:11" ht="18" customHeight="1" x14ac:dyDescent="0.2">
      <c r="A21" s="435" t="s">
        <v>75</v>
      </c>
      <c r="B21" s="419" t="s">
        <v>42</v>
      </c>
      <c r="F21" s="221">
        <v>40706.399999999994</v>
      </c>
      <c r="G21" s="221">
        <v>6299</v>
      </c>
      <c r="H21" s="246">
        <v>1776203</v>
      </c>
      <c r="I21" s="247">
        <f t="shared" ref="I21:I34" si="0">H21*F$114</f>
        <v>1223803.8669999999</v>
      </c>
      <c r="J21" s="246">
        <v>196579</v>
      </c>
      <c r="K21" s="246">
        <f t="shared" ref="K21:K34" si="1">(H21+I21)-J21</f>
        <v>2803427.8669999996</v>
      </c>
    </row>
    <row r="22" spans="1:11" ht="18" customHeight="1" x14ac:dyDescent="0.2">
      <c r="A22" s="435" t="s">
        <v>76</v>
      </c>
      <c r="B22" s="259" t="s">
        <v>6</v>
      </c>
      <c r="F22" s="221">
        <v>2110</v>
      </c>
      <c r="G22" s="221">
        <v>371</v>
      </c>
      <c r="H22" s="246">
        <v>1477721.7192269559</v>
      </c>
      <c r="I22" s="247">
        <f t="shared" si="0"/>
        <v>1018150.2645473726</v>
      </c>
      <c r="J22" s="246"/>
      <c r="K22" s="246">
        <f t="shared" si="1"/>
        <v>2495871.9837743286</v>
      </c>
    </row>
    <row r="23" spans="1:11" ht="18" customHeight="1" x14ac:dyDescent="0.2">
      <c r="A23" s="435" t="s">
        <v>77</v>
      </c>
      <c r="B23" s="259" t="s">
        <v>43</v>
      </c>
      <c r="F23" s="221"/>
      <c r="G23" s="221"/>
      <c r="H23" s="246"/>
      <c r="I23" s="247">
        <f t="shared" si="0"/>
        <v>0</v>
      </c>
      <c r="J23" s="246"/>
      <c r="K23" s="246">
        <f t="shared" si="1"/>
        <v>0</v>
      </c>
    </row>
    <row r="24" spans="1:11" ht="18" customHeight="1" x14ac:dyDescent="0.2">
      <c r="A24" s="435" t="s">
        <v>78</v>
      </c>
      <c r="B24" s="259" t="s">
        <v>44</v>
      </c>
      <c r="F24" s="221"/>
      <c r="G24" s="221"/>
      <c r="H24" s="246"/>
      <c r="I24" s="247">
        <f t="shared" si="0"/>
        <v>0</v>
      </c>
      <c r="J24" s="246"/>
      <c r="K24" s="246">
        <f t="shared" si="1"/>
        <v>0</v>
      </c>
    </row>
    <row r="25" spans="1:11" ht="18" customHeight="1" x14ac:dyDescent="0.2">
      <c r="A25" s="435" t="s">
        <v>79</v>
      </c>
      <c r="B25" s="259" t="s">
        <v>5</v>
      </c>
      <c r="F25" s="221"/>
      <c r="G25" s="221"/>
      <c r="H25" s="246"/>
      <c r="I25" s="247">
        <f t="shared" si="0"/>
        <v>0</v>
      </c>
      <c r="J25" s="246"/>
      <c r="K25" s="246">
        <f t="shared" si="1"/>
        <v>0</v>
      </c>
    </row>
    <row r="26" spans="1:11" ht="18" customHeight="1" x14ac:dyDescent="0.2">
      <c r="A26" s="435" t="s">
        <v>80</v>
      </c>
      <c r="B26" s="259" t="s">
        <v>45</v>
      </c>
      <c r="F26" s="221"/>
      <c r="G26" s="221"/>
      <c r="H26" s="246"/>
      <c r="I26" s="247">
        <f t="shared" si="0"/>
        <v>0</v>
      </c>
      <c r="J26" s="246"/>
      <c r="K26" s="246">
        <f t="shared" si="1"/>
        <v>0</v>
      </c>
    </row>
    <row r="27" spans="1:11" ht="18" customHeight="1" x14ac:dyDescent="0.2">
      <c r="A27" s="435" t="s">
        <v>81</v>
      </c>
      <c r="B27" s="259" t="s">
        <v>536</v>
      </c>
      <c r="F27" s="221"/>
      <c r="G27" s="221"/>
      <c r="H27" s="246"/>
      <c r="I27" s="247">
        <f t="shared" si="0"/>
        <v>0</v>
      </c>
      <c r="J27" s="246"/>
      <c r="K27" s="246">
        <f t="shared" si="1"/>
        <v>0</v>
      </c>
    </row>
    <row r="28" spans="1:11" ht="18" customHeight="1" x14ac:dyDescent="0.2">
      <c r="A28" s="435" t="s">
        <v>82</v>
      </c>
      <c r="B28" s="259" t="s">
        <v>47</v>
      </c>
      <c r="F28" s="221"/>
      <c r="G28" s="221"/>
      <c r="H28" s="246"/>
      <c r="I28" s="247">
        <f t="shared" si="0"/>
        <v>0</v>
      </c>
      <c r="J28" s="246"/>
      <c r="K28" s="246">
        <f t="shared" si="1"/>
        <v>0</v>
      </c>
    </row>
    <row r="29" spans="1:11" ht="18" customHeight="1" x14ac:dyDescent="0.2">
      <c r="A29" s="435" t="s">
        <v>83</v>
      </c>
      <c r="B29" s="259" t="s">
        <v>48</v>
      </c>
      <c r="F29" s="221">
        <v>136</v>
      </c>
      <c r="G29" s="221">
        <v>0</v>
      </c>
      <c r="H29" s="221">
        <v>1241940</v>
      </c>
      <c r="I29" s="247">
        <f t="shared" si="0"/>
        <v>855696.65999999992</v>
      </c>
      <c r="J29" s="246"/>
      <c r="K29" s="246">
        <f t="shared" si="1"/>
        <v>2097636.66</v>
      </c>
    </row>
    <row r="30" spans="1:11" ht="18" customHeight="1" x14ac:dyDescent="0.2">
      <c r="A30" s="435" t="s">
        <v>84</v>
      </c>
      <c r="B30" s="456" t="s">
        <v>704</v>
      </c>
      <c r="C30" s="457"/>
      <c r="D30" s="458"/>
      <c r="F30" s="221"/>
      <c r="G30" s="221">
        <v>28836</v>
      </c>
      <c r="H30" s="246">
        <v>787767.18</v>
      </c>
      <c r="I30" s="247">
        <f t="shared" si="0"/>
        <v>542771.58701999998</v>
      </c>
      <c r="J30" s="246"/>
      <c r="K30" s="246">
        <f t="shared" si="1"/>
        <v>1330538.7670200001</v>
      </c>
    </row>
    <row r="31" spans="1:11" ht="18" customHeight="1" x14ac:dyDescent="0.2">
      <c r="A31" s="435" t="s">
        <v>133</v>
      </c>
      <c r="B31" s="456"/>
      <c r="C31" s="457"/>
      <c r="D31" s="458"/>
      <c r="F31" s="221"/>
      <c r="G31" s="221"/>
      <c r="H31" s="246"/>
      <c r="I31" s="247">
        <f t="shared" si="0"/>
        <v>0</v>
      </c>
      <c r="J31" s="246"/>
      <c r="K31" s="246">
        <f t="shared" si="1"/>
        <v>0</v>
      </c>
    </row>
    <row r="32" spans="1:11" ht="18" customHeight="1" x14ac:dyDescent="0.2">
      <c r="A32" s="435" t="s">
        <v>134</v>
      </c>
      <c r="B32" s="459"/>
      <c r="C32" s="460"/>
      <c r="D32" s="461"/>
      <c r="F32" s="221"/>
      <c r="G32" s="255" t="s">
        <v>85</v>
      </c>
      <c r="H32" s="246"/>
      <c r="I32" s="247">
        <f t="shared" si="0"/>
        <v>0</v>
      </c>
      <c r="J32" s="246"/>
      <c r="K32" s="246">
        <f t="shared" si="1"/>
        <v>0</v>
      </c>
    </row>
    <row r="33" spans="1:11" ht="18" customHeight="1" x14ac:dyDescent="0.2">
      <c r="A33" s="435" t="s">
        <v>135</v>
      </c>
      <c r="B33" s="459"/>
      <c r="C33" s="460"/>
      <c r="D33" s="461"/>
      <c r="F33" s="221"/>
      <c r="G33" s="255" t="s">
        <v>85</v>
      </c>
      <c r="H33" s="246"/>
      <c r="I33" s="247">
        <f t="shared" si="0"/>
        <v>0</v>
      </c>
      <c r="J33" s="246"/>
      <c r="K33" s="246">
        <f t="shared" si="1"/>
        <v>0</v>
      </c>
    </row>
    <row r="34" spans="1:11" ht="18" customHeight="1" x14ac:dyDescent="0.2">
      <c r="A34" s="435" t="s">
        <v>136</v>
      </c>
      <c r="B34" s="456"/>
      <c r="C34" s="457"/>
      <c r="D34" s="458"/>
      <c r="F34" s="221"/>
      <c r="G34" s="255" t="s">
        <v>85</v>
      </c>
      <c r="H34" s="246"/>
      <c r="I34" s="247">
        <f t="shared" si="0"/>
        <v>0</v>
      </c>
      <c r="J34" s="246"/>
      <c r="K34" s="246">
        <f t="shared" si="1"/>
        <v>0</v>
      </c>
    </row>
    <row r="35" spans="1:11" ht="18" customHeight="1" x14ac:dyDescent="0.2">
      <c r="K35" s="504"/>
    </row>
    <row r="36" spans="1:11" ht="18" customHeight="1" x14ac:dyDescent="0.2">
      <c r="A36" s="455" t="s">
        <v>137</v>
      </c>
      <c r="B36" s="421" t="s">
        <v>138</v>
      </c>
      <c r="E36" s="421" t="s">
        <v>7</v>
      </c>
      <c r="F36" s="221">
        <f t="shared" ref="F36:K36" si="2">SUM(F21:F34)</f>
        <v>42952.399999999994</v>
      </c>
      <c r="G36" s="221">
        <f t="shared" si="2"/>
        <v>35506</v>
      </c>
      <c r="H36" s="246">
        <f t="shared" si="2"/>
        <v>5283631.8992269561</v>
      </c>
      <c r="I36" s="246">
        <f t="shared" si="2"/>
        <v>3640422.378567372</v>
      </c>
      <c r="J36" s="246">
        <v>196579</v>
      </c>
      <c r="K36" s="246">
        <f t="shared" si="2"/>
        <v>8727475.2777943276</v>
      </c>
    </row>
    <row r="37" spans="1:11" ht="18" customHeight="1" thickBot="1" x14ac:dyDescent="0.25">
      <c r="B37" s="421"/>
      <c r="F37" s="462"/>
      <c r="G37" s="462"/>
      <c r="H37" s="505"/>
      <c r="I37" s="505"/>
      <c r="J37" s="505"/>
      <c r="K37" s="506"/>
    </row>
    <row r="38" spans="1:11" ht="42.75" customHeight="1" x14ac:dyDescent="0.2">
      <c r="F38" s="454" t="s">
        <v>9</v>
      </c>
      <c r="G38" s="454" t="s">
        <v>37</v>
      </c>
      <c r="H38" s="503" t="s">
        <v>29</v>
      </c>
      <c r="I38" s="503" t="s">
        <v>30</v>
      </c>
      <c r="J38" s="503" t="s">
        <v>33</v>
      </c>
      <c r="K38" s="503" t="s">
        <v>34</v>
      </c>
    </row>
    <row r="39" spans="1:11" ht="18.75" customHeight="1" x14ac:dyDescent="0.2">
      <c r="A39" s="455" t="s">
        <v>86</v>
      </c>
      <c r="B39" s="421" t="s">
        <v>49</v>
      </c>
    </row>
    <row r="40" spans="1:11" ht="18" customHeight="1" x14ac:dyDescent="0.2">
      <c r="A40" s="435" t="s">
        <v>87</v>
      </c>
      <c r="B40" s="259" t="s">
        <v>31</v>
      </c>
      <c r="F40" s="221">
        <v>136851.5</v>
      </c>
      <c r="G40" s="221">
        <v>0</v>
      </c>
      <c r="H40" s="246">
        <v>6125807.3989999993</v>
      </c>
      <c r="I40" s="247">
        <f t="shared" ref="I40:I42" si="3">H40*F$114</f>
        <v>4220681.2979109995</v>
      </c>
      <c r="J40" s="246">
        <v>300000</v>
      </c>
      <c r="K40" s="246">
        <f t="shared" ref="K40:K47" si="4">(H40+I40)-J40</f>
        <v>10046488.696911</v>
      </c>
    </row>
    <row r="41" spans="1:11" ht="18" customHeight="1" x14ac:dyDescent="0.2">
      <c r="A41" s="435" t="s">
        <v>88</v>
      </c>
      <c r="B41" s="465" t="s">
        <v>50</v>
      </c>
      <c r="C41" s="466"/>
      <c r="F41" s="221">
        <v>832</v>
      </c>
      <c r="G41" s="221">
        <v>0</v>
      </c>
      <c r="H41" s="246">
        <v>179668</v>
      </c>
      <c r="I41" s="247">
        <f t="shared" si="3"/>
        <v>123791.25199999999</v>
      </c>
      <c r="J41" s="246">
        <v>0</v>
      </c>
      <c r="K41" s="246">
        <f t="shared" si="4"/>
        <v>303459.25199999998</v>
      </c>
    </row>
    <row r="42" spans="1:11" ht="18" customHeight="1" x14ac:dyDescent="0.2">
      <c r="A42" s="435" t="s">
        <v>89</v>
      </c>
      <c r="B42" s="419" t="s">
        <v>11</v>
      </c>
      <c r="F42" s="221">
        <v>429</v>
      </c>
      <c r="G42" s="221">
        <v>0</v>
      </c>
      <c r="H42" s="246">
        <v>93058</v>
      </c>
      <c r="I42" s="247">
        <f t="shared" si="3"/>
        <v>64116.961999999992</v>
      </c>
      <c r="J42" s="246"/>
      <c r="K42" s="246">
        <f t="shared" si="4"/>
        <v>157174.962</v>
      </c>
    </row>
    <row r="43" spans="1:11" ht="18" customHeight="1" x14ac:dyDescent="0.2">
      <c r="A43" s="435" t="s">
        <v>90</v>
      </c>
      <c r="B43" s="467" t="s">
        <v>10</v>
      </c>
      <c r="C43" s="468"/>
      <c r="D43" s="468"/>
      <c r="F43" s="221"/>
      <c r="G43" s="221"/>
      <c r="H43" s="246"/>
      <c r="I43" s="247">
        <v>0</v>
      </c>
      <c r="J43" s="246"/>
      <c r="K43" s="246">
        <f t="shared" si="4"/>
        <v>0</v>
      </c>
    </row>
    <row r="44" spans="1:11" ht="18" customHeight="1" x14ac:dyDescent="0.2">
      <c r="A44" s="435" t="s">
        <v>91</v>
      </c>
      <c r="B44" s="456"/>
      <c r="C44" s="457"/>
      <c r="D44" s="458"/>
      <c r="F44" s="407"/>
      <c r="G44" s="407"/>
      <c r="H44" s="242"/>
      <c r="I44" s="507">
        <v>0</v>
      </c>
      <c r="J44" s="242"/>
      <c r="K44" s="242">
        <f t="shared" si="4"/>
        <v>0</v>
      </c>
    </row>
    <row r="45" spans="1:11" ht="18" customHeight="1" x14ac:dyDescent="0.2">
      <c r="A45" s="435" t="s">
        <v>139</v>
      </c>
      <c r="B45" s="456"/>
      <c r="C45" s="457"/>
      <c r="D45" s="458"/>
      <c r="F45" s="221"/>
      <c r="G45" s="221"/>
      <c r="H45" s="246"/>
      <c r="I45" s="247">
        <v>0</v>
      </c>
      <c r="J45" s="246"/>
      <c r="K45" s="246">
        <f t="shared" si="4"/>
        <v>0</v>
      </c>
    </row>
    <row r="46" spans="1:11" ht="18" customHeight="1" x14ac:dyDescent="0.2">
      <c r="A46" s="435" t="s">
        <v>140</v>
      </c>
      <c r="B46" s="456"/>
      <c r="C46" s="457"/>
      <c r="D46" s="458"/>
      <c r="F46" s="221"/>
      <c r="G46" s="221"/>
      <c r="H46" s="246"/>
      <c r="I46" s="247">
        <v>0</v>
      </c>
      <c r="J46" s="246"/>
      <c r="K46" s="246">
        <f t="shared" si="4"/>
        <v>0</v>
      </c>
    </row>
    <row r="47" spans="1:11" ht="18" customHeight="1" x14ac:dyDescent="0.2">
      <c r="A47" s="435" t="s">
        <v>141</v>
      </c>
      <c r="B47" s="456"/>
      <c r="C47" s="457"/>
      <c r="D47" s="458"/>
      <c r="F47" s="221"/>
      <c r="G47" s="221"/>
      <c r="H47" s="246"/>
      <c r="I47" s="247">
        <v>0</v>
      </c>
      <c r="J47" s="246"/>
      <c r="K47" s="246">
        <f t="shared" si="4"/>
        <v>0</v>
      </c>
    </row>
    <row r="49" spans="1:11" ht="18" customHeight="1" x14ac:dyDescent="0.2">
      <c r="A49" s="455" t="s">
        <v>142</v>
      </c>
      <c r="B49" s="421" t="s">
        <v>143</v>
      </c>
      <c r="E49" s="421" t="s">
        <v>7</v>
      </c>
      <c r="F49" s="409">
        <f t="shared" ref="F49:K49" si="5">SUM(F40:F47)</f>
        <v>138112.5</v>
      </c>
      <c r="G49" s="409">
        <f t="shared" si="5"/>
        <v>0</v>
      </c>
      <c r="H49" s="246">
        <f t="shared" si="5"/>
        <v>6398533.3989999993</v>
      </c>
      <c r="I49" s="246">
        <f t="shared" si="5"/>
        <v>4408589.5119110001</v>
      </c>
      <c r="J49" s="246">
        <v>300000</v>
      </c>
      <c r="K49" s="246">
        <f t="shared" si="5"/>
        <v>10507122.910910999</v>
      </c>
    </row>
    <row r="50" spans="1:11" ht="18" customHeight="1" thickBot="1" x14ac:dyDescent="0.25">
      <c r="G50" s="469"/>
      <c r="H50" s="508"/>
      <c r="I50" s="508"/>
      <c r="J50" s="508"/>
      <c r="K50" s="508"/>
    </row>
    <row r="51" spans="1:11" ht="42.75" customHeight="1" x14ac:dyDescent="0.2">
      <c r="F51" s="454" t="s">
        <v>9</v>
      </c>
      <c r="G51" s="454" t="s">
        <v>37</v>
      </c>
      <c r="H51" s="503" t="s">
        <v>29</v>
      </c>
      <c r="I51" s="503" t="s">
        <v>30</v>
      </c>
      <c r="J51" s="503" t="s">
        <v>33</v>
      </c>
      <c r="K51" s="503" t="s">
        <v>34</v>
      </c>
    </row>
    <row r="52" spans="1:11" ht="18" customHeight="1" x14ac:dyDescent="0.2">
      <c r="A52" s="455" t="s">
        <v>92</v>
      </c>
      <c r="B52" s="470" t="s">
        <v>38</v>
      </c>
      <c r="C52" s="471"/>
    </row>
    <row r="53" spans="1:11" ht="18" customHeight="1" x14ac:dyDescent="0.2">
      <c r="A53" s="435" t="s">
        <v>51</v>
      </c>
      <c r="B53" s="491" t="s">
        <v>705</v>
      </c>
      <c r="C53" s="411"/>
      <c r="D53" s="412"/>
      <c r="F53" s="221">
        <v>88699</v>
      </c>
      <c r="G53" s="221"/>
      <c r="H53" s="246">
        <v>4434961</v>
      </c>
      <c r="I53" s="247">
        <f t="shared" ref="I53:I62" si="6">H53*F$114</f>
        <v>3055688.1289999997</v>
      </c>
      <c r="J53" s="246"/>
      <c r="K53" s="246">
        <f t="shared" ref="K53:K62" si="7">(H53+I53)-J53</f>
        <v>7490649.1289999997</v>
      </c>
    </row>
    <row r="54" spans="1:11" ht="18" customHeight="1" x14ac:dyDescent="0.2">
      <c r="A54" s="435" t="s">
        <v>93</v>
      </c>
      <c r="B54" s="420" t="s">
        <v>540</v>
      </c>
      <c r="C54" s="414"/>
      <c r="D54" s="415"/>
      <c r="F54" s="221"/>
      <c r="G54" s="221"/>
      <c r="H54" s="246">
        <v>2118092</v>
      </c>
      <c r="I54" s="247">
        <f t="shared" si="6"/>
        <v>1459365.3879999998</v>
      </c>
      <c r="J54" s="246"/>
      <c r="K54" s="246">
        <f t="shared" si="7"/>
        <v>3577457.3879999998</v>
      </c>
    </row>
    <row r="55" spans="1:11" ht="18" customHeight="1" x14ac:dyDescent="0.2">
      <c r="A55" s="435" t="s">
        <v>94</v>
      </c>
      <c r="B55" s="418" t="s">
        <v>706</v>
      </c>
      <c r="C55" s="417"/>
      <c r="D55" s="412"/>
      <c r="F55" s="221"/>
      <c r="G55" s="221"/>
      <c r="H55" s="246">
        <v>1088826</v>
      </c>
      <c r="I55" s="247">
        <f t="shared" si="6"/>
        <v>750201.11399999994</v>
      </c>
      <c r="J55" s="246"/>
      <c r="K55" s="246">
        <f t="shared" si="7"/>
        <v>1839027.1140000001</v>
      </c>
    </row>
    <row r="56" spans="1:11" ht="18" customHeight="1" x14ac:dyDescent="0.2">
      <c r="A56" s="435" t="s">
        <v>95</v>
      </c>
      <c r="B56" s="418" t="s">
        <v>489</v>
      </c>
      <c r="C56" s="417"/>
      <c r="D56" s="412"/>
      <c r="F56" s="221"/>
      <c r="G56" s="221"/>
      <c r="H56" s="246">
        <v>703087</v>
      </c>
      <c r="I56" s="247">
        <f t="shared" si="6"/>
        <v>484426.94299999997</v>
      </c>
      <c r="J56" s="246"/>
      <c r="K56" s="246">
        <f t="shared" si="7"/>
        <v>1187513.943</v>
      </c>
    </row>
    <row r="57" spans="1:11" ht="18" customHeight="1" x14ac:dyDescent="0.2">
      <c r="A57" s="435" t="s">
        <v>96</v>
      </c>
      <c r="B57" s="418" t="s">
        <v>491</v>
      </c>
      <c r="C57" s="417"/>
      <c r="D57" s="412"/>
      <c r="F57" s="221">
        <v>6259</v>
      </c>
      <c r="G57" s="221"/>
      <c r="H57" s="246">
        <v>140959</v>
      </c>
      <c r="I57" s="247">
        <f t="shared" si="6"/>
        <v>97120.750999999989</v>
      </c>
      <c r="J57" s="246">
        <v>108212</v>
      </c>
      <c r="K57" s="246">
        <f t="shared" si="7"/>
        <v>129867.75099999999</v>
      </c>
    </row>
    <row r="58" spans="1:11" ht="18" customHeight="1" x14ac:dyDescent="0.2">
      <c r="A58" s="435" t="s">
        <v>97</v>
      </c>
      <c r="B58" s="420" t="s">
        <v>339</v>
      </c>
      <c r="C58" s="414"/>
      <c r="D58" s="415"/>
      <c r="F58" s="221">
        <v>8648</v>
      </c>
      <c r="G58" s="221">
        <v>409</v>
      </c>
      <c r="H58" s="246">
        <v>484923</v>
      </c>
      <c r="I58" s="247">
        <f t="shared" si="6"/>
        <v>334111.94699999999</v>
      </c>
      <c r="J58" s="246">
        <v>395561</v>
      </c>
      <c r="K58" s="246">
        <f t="shared" si="7"/>
        <v>423473.94699999993</v>
      </c>
    </row>
    <row r="59" spans="1:11" ht="18" customHeight="1" x14ac:dyDescent="0.2">
      <c r="A59" s="435" t="s">
        <v>98</v>
      </c>
      <c r="B59" s="418" t="s">
        <v>541</v>
      </c>
      <c r="C59" s="417"/>
      <c r="D59" s="412"/>
      <c r="F59" s="221">
        <v>5459</v>
      </c>
      <c r="G59" s="221">
        <v>432</v>
      </c>
      <c r="H59" s="246">
        <v>487594</v>
      </c>
      <c r="I59" s="247">
        <f t="shared" si="6"/>
        <v>335952.26599999995</v>
      </c>
      <c r="J59" s="246">
        <v>367030</v>
      </c>
      <c r="K59" s="246">
        <f t="shared" si="7"/>
        <v>456516.26599999995</v>
      </c>
    </row>
    <row r="60" spans="1:11" ht="18" customHeight="1" x14ac:dyDescent="0.2">
      <c r="A60" s="435" t="s">
        <v>99</v>
      </c>
      <c r="B60" s="420" t="s">
        <v>490</v>
      </c>
      <c r="C60" s="414"/>
      <c r="D60" s="415"/>
      <c r="F60" s="221">
        <v>0</v>
      </c>
      <c r="G60" s="221">
        <v>5193</v>
      </c>
      <c r="H60" s="246">
        <v>86800</v>
      </c>
      <c r="I60" s="247">
        <f t="shared" si="6"/>
        <v>59805.2</v>
      </c>
      <c r="J60" s="246"/>
      <c r="K60" s="246">
        <f t="shared" si="7"/>
        <v>146605.20000000001</v>
      </c>
    </row>
    <row r="61" spans="1:11" ht="18" customHeight="1" x14ac:dyDescent="0.2">
      <c r="A61" s="435" t="s">
        <v>100</v>
      </c>
      <c r="B61" s="420" t="s">
        <v>707</v>
      </c>
      <c r="C61" s="414"/>
      <c r="D61" s="415"/>
      <c r="F61" s="221">
        <v>25643</v>
      </c>
      <c r="G61" s="221">
        <v>962</v>
      </c>
      <c r="H61" s="246">
        <v>421839</v>
      </c>
      <c r="I61" s="247">
        <f t="shared" si="6"/>
        <v>290647.071</v>
      </c>
      <c r="J61" s="246"/>
      <c r="K61" s="246">
        <f t="shared" si="7"/>
        <v>712486.071</v>
      </c>
    </row>
    <row r="62" spans="1:11" ht="18" customHeight="1" x14ac:dyDescent="0.2">
      <c r="A62" s="435" t="s">
        <v>101</v>
      </c>
      <c r="B62" s="418" t="s">
        <v>708</v>
      </c>
      <c r="C62" s="417"/>
      <c r="D62" s="412"/>
      <c r="F62" s="221">
        <v>1971</v>
      </c>
      <c r="G62" s="221">
        <v>326</v>
      </c>
      <c r="H62" s="246">
        <v>173430</v>
      </c>
      <c r="I62" s="247">
        <f t="shared" si="6"/>
        <v>119493.26999999999</v>
      </c>
      <c r="J62" s="246"/>
      <c r="K62" s="246">
        <f t="shared" si="7"/>
        <v>292923.27</v>
      </c>
    </row>
    <row r="63" spans="1:11" ht="18" customHeight="1" x14ac:dyDescent="0.2">
      <c r="A63" s="435"/>
      <c r="I63" s="243"/>
    </row>
    <row r="64" spans="1:11" ht="18" customHeight="1" x14ac:dyDescent="0.2">
      <c r="A64" s="435" t="s">
        <v>144</v>
      </c>
      <c r="B64" s="421" t="s">
        <v>145</v>
      </c>
      <c r="E64" s="421" t="s">
        <v>7</v>
      </c>
      <c r="F64" s="221">
        <f t="shared" ref="F64:K64" si="8">SUM(F53:F62)</f>
        <v>136679</v>
      </c>
      <c r="G64" s="221">
        <f t="shared" si="8"/>
        <v>7322</v>
      </c>
      <c r="H64" s="246">
        <f t="shared" si="8"/>
        <v>10140511</v>
      </c>
      <c r="I64" s="246">
        <f t="shared" si="8"/>
        <v>6986812.078999998</v>
      </c>
      <c r="J64" s="246">
        <f t="shared" si="8"/>
        <v>870803</v>
      </c>
      <c r="K64" s="246">
        <f t="shared" si="8"/>
        <v>16256520.079</v>
      </c>
    </row>
    <row r="65" spans="1:11" ht="18" customHeight="1" x14ac:dyDescent="0.2">
      <c r="F65" s="478"/>
      <c r="G65" s="478"/>
      <c r="H65" s="509"/>
      <c r="I65" s="509"/>
      <c r="J65" s="509"/>
      <c r="K65" s="509"/>
    </row>
    <row r="66" spans="1:11" ht="42.75" customHeight="1" x14ac:dyDescent="0.2">
      <c r="F66" s="479" t="s">
        <v>9</v>
      </c>
      <c r="G66" s="479" t="s">
        <v>37</v>
      </c>
      <c r="H66" s="510" t="s">
        <v>29</v>
      </c>
      <c r="I66" s="510" t="s">
        <v>30</v>
      </c>
      <c r="J66" s="510" t="s">
        <v>33</v>
      </c>
      <c r="K66" s="510" t="s">
        <v>34</v>
      </c>
    </row>
    <row r="67" spans="1:11" ht="18" customHeight="1" x14ac:dyDescent="0.2">
      <c r="A67" s="455" t="s">
        <v>102</v>
      </c>
      <c r="B67" s="421" t="s">
        <v>12</v>
      </c>
      <c r="F67" s="480"/>
      <c r="G67" s="480"/>
      <c r="H67" s="244"/>
      <c r="I67" s="244"/>
      <c r="J67" s="244"/>
      <c r="K67" s="244"/>
    </row>
    <row r="68" spans="1:11" ht="18" customHeight="1" x14ac:dyDescent="0.2">
      <c r="A68" s="435" t="s">
        <v>103</v>
      </c>
      <c r="B68" s="259" t="s">
        <v>52</v>
      </c>
      <c r="F68" s="245"/>
      <c r="G68" s="245"/>
      <c r="H68" s="246"/>
      <c r="I68" s="247">
        <v>0</v>
      </c>
      <c r="J68" s="246">
        <v>92143</v>
      </c>
      <c r="K68" s="246">
        <f>(H68+I68)-J68</f>
        <v>-92143</v>
      </c>
    </row>
    <row r="69" spans="1:11" ht="18" customHeight="1" x14ac:dyDescent="0.2">
      <c r="A69" s="435" t="s">
        <v>104</v>
      </c>
      <c r="B69" s="419" t="s">
        <v>53</v>
      </c>
      <c r="F69" s="245">
        <v>11004</v>
      </c>
      <c r="G69" s="245">
        <v>1766</v>
      </c>
      <c r="H69" s="246">
        <v>522631</v>
      </c>
      <c r="I69" s="247">
        <f t="shared" ref="I69" si="9">H69*F$114</f>
        <v>360092.75899999996</v>
      </c>
      <c r="J69" s="246"/>
      <c r="K69" s="246">
        <f>(H69+I69)-J69</f>
        <v>882723.75899999996</v>
      </c>
    </row>
    <row r="70" spans="1:11" ht="18" customHeight="1" x14ac:dyDescent="0.2">
      <c r="A70" s="435" t="s">
        <v>178</v>
      </c>
      <c r="B70" s="420"/>
      <c r="C70" s="414"/>
      <c r="D70" s="415"/>
      <c r="E70" s="421"/>
      <c r="F70" s="511"/>
      <c r="G70" s="511"/>
      <c r="H70" s="512"/>
      <c r="I70" s="247">
        <v>0</v>
      </c>
      <c r="J70" s="512"/>
      <c r="K70" s="246">
        <f>(H70+I70)-J70</f>
        <v>0</v>
      </c>
    </row>
    <row r="71" spans="1:11" ht="18" customHeight="1" x14ac:dyDescent="0.2">
      <c r="A71" s="435" t="s">
        <v>179</v>
      </c>
      <c r="B71" s="420"/>
      <c r="C71" s="414"/>
      <c r="D71" s="415"/>
      <c r="E71" s="421"/>
      <c r="F71" s="511"/>
      <c r="G71" s="511"/>
      <c r="H71" s="512"/>
      <c r="I71" s="247">
        <v>0</v>
      </c>
      <c r="J71" s="512"/>
      <c r="K71" s="246">
        <f>(H71+I71)-J71</f>
        <v>0</v>
      </c>
    </row>
    <row r="72" spans="1:11" ht="18" customHeight="1" x14ac:dyDescent="0.2">
      <c r="A72" s="435" t="s">
        <v>180</v>
      </c>
      <c r="B72" s="424"/>
      <c r="C72" s="425"/>
      <c r="D72" s="426"/>
      <c r="E72" s="421"/>
      <c r="F72" s="245"/>
      <c r="G72" s="245"/>
      <c r="H72" s="246"/>
      <c r="I72" s="247">
        <v>0</v>
      </c>
      <c r="J72" s="246"/>
      <c r="K72" s="246">
        <f>(H72+I72)-J72</f>
        <v>0</v>
      </c>
    </row>
    <row r="73" spans="1:11" ht="18" customHeight="1" x14ac:dyDescent="0.2">
      <c r="A73" s="435"/>
      <c r="B73" s="419"/>
      <c r="E73" s="421"/>
      <c r="F73" s="513"/>
      <c r="G73" s="513"/>
      <c r="H73" s="244"/>
      <c r="I73" s="244"/>
      <c r="J73" s="244"/>
      <c r="K73" s="244"/>
    </row>
    <row r="74" spans="1:11" ht="18" customHeight="1" x14ac:dyDescent="0.2">
      <c r="A74" s="455" t="s">
        <v>146</v>
      </c>
      <c r="B74" s="421" t="s">
        <v>147</v>
      </c>
      <c r="E74" s="421" t="s">
        <v>7</v>
      </c>
      <c r="F74" s="245">
        <f t="shared" ref="F74:K74" si="10">SUM(F68:F72)</f>
        <v>11004</v>
      </c>
      <c r="G74" s="245">
        <f t="shared" si="10"/>
        <v>1766</v>
      </c>
      <c r="H74" s="246">
        <f t="shared" si="10"/>
        <v>522631</v>
      </c>
      <c r="I74" s="247">
        <f t="shared" si="10"/>
        <v>360092.75899999996</v>
      </c>
      <c r="J74" s="247">
        <f t="shared" si="10"/>
        <v>92143</v>
      </c>
      <c r="K74" s="246">
        <f t="shared" si="10"/>
        <v>790580.75899999996</v>
      </c>
    </row>
    <row r="75" spans="1:11" ht="42.75" customHeight="1" x14ac:dyDescent="0.2">
      <c r="F75" s="454" t="s">
        <v>9</v>
      </c>
      <c r="G75" s="454" t="s">
        <v>37</v>
      </c>
      <c r="H75" s="503" t="s">
        <v>29</v>
      </c>
      <c r="I75" s="503" t="s">
        <v>30</v>
      </c>
      <c r="J75" s="503" t="s">
        <v>33</v>
      </c>
      <c r="K75" s="503" t="s">
        <v>34</v>
      </c>
    </row>
    <row r="76" spans="1:11" ht="18" customHeight="1" x14ac:dyDescent="0.2">
      <c r="A76" s="455" t="s">
        <v>105</v>
      </c>
      <c r="B76" s="421" t="s">
        <v>106</v>
      </c>
    </row>
    <row r="77" spans="1:11" ht="18" customHeight="1" x14ac:dyDescent="0.2">
      <c r="A77" s="435" t="s">
        <v>107</v>
      </c>
      <c r="B77" s="419" t="s">
        <v>54</v>
      </c>
      <c r="F77" s="221"/>
      <c r="G77" s="221"/>
      <c r="H77" s="246">
        <v>1880411</v>
      </c>
      <c r="I77" s="247">
        <f>H77*0.01</f>
        <v>18804.11</v>
      </c>
      <c r="J77" s="246"/>
      <c r="K77" s="246">
        <f>(H77+I77)-J77</f>
        <v>1899215.11</v>
      </c>
    </row>
    <row r="78" spans="1:11" ht="18" customHeight="1" x14ac:dyDescent="0.2">
      <c r="A78" s="435" t="s">
        <v>108</v>
      </c>
      <c r="B78" s="419" t="s">
        <v>55</v>
      </c>
      <c r="F78" s="221"/>
      <c r="G78" s="221"/>
      <c r="H78" s="246"/>
      <c r="I78" s="247">
        <v>0</v>
      </c>
      <c r="J78" s="246"/>
      <c r="K78" s="246">
        <f>(H78+I78)-J78</f>
        <v>0</v>
      </c>
    </row>
    <row r="79" spans="1:11" ht="18" customHeight="1" x14ac:dyDescent="0.2">
      <c r="A79" s="435" t="s">
        <v>109</v>
      </c>
      <c r="B79" s="419" t="s">
        <v>13</v>
      </c>
      <c r="F79" s="221">
        <v>3943.5</v>
      </c>
      <c r="G79" s="221">
        <v>607</v>
      </c>
      <c r="H79" s="246">
        <v>236883.12156346685</v>
      </c>
      <c r="I79" s="247">
        <f t="shared" ref="I79:I80" si="11">H79*F$114</f>
        <v>163212.47075722864</v>
      </c>
      <c r="J79" s="246"/>
      <c r="K79" s="246">
        <f>(H79+I79)-J79</f>
        <v>400095.59232069552</v>
      </c>
    </row>
    <row r="80" spans="1:11" ht="18" customHeight="1" x14ac:dyDescent="0.2">
      <c r="A80" s="435" t="s">
        <v>110</v>
      </c>
      <c r="B80" s="419" t="s">
        <v>56</v>
      </c>
      <c r="F80" s="221"/>
      <c r="G80" s="221"/>
      <c r="H80" s="246">
        <v>322059</v>
      </c>
      <c r="I80" s="247">
        <f t="shared" si="11"/>
        <v>221898.65099999998</v>
      </c>
      <c r="J80" s="246"/>
      <c r="K80" s="246">
        <f>(H80+I80)-J80</f>
        <v>543957.65099999995</v>
      </c>
    </row>
    <row r="81" spans="1:11" ht="18" customHeight="1" x14ac:dyDescent="0.2">
      <c r="A81" s="435"/>
      <c r="K81" s="514"/>
    </row>
    <row r="82" spans="1:11" ht="18" customHeight="1" x14ac:dyDescent="0.2">
      <c r="A82" s="435" t="s">
        <v>148</v>
      </c>
      <c r="B82" s="421" t="s">
        <v>149</v>
      </c>
      <c r="E82" s="421" t="s">
        <v>7</v>
      </c>
      <c r="F82" s="122">
        <f t="shared" ref="F82:K82" si="12">SUM(F77:F80)</f>
        <v>3943.5</v>
      </c>
      <c r="G82" s="122">
        <f t="shared" si="12"/>
        <v>607</v>
      </c>
      <c r="H82" s="246">
        <f t="shared" si="12"/>
        <v>2439353.1215634667</v>
      </c>
      <c r="I82" s="246">
        <f t="shared" si="12"/>
        <v>403915.23175722861</v>
      </c>
      <c r="J82" s="246">
        <f t="shared" si="12"/>
        <v>0</v>
      </c>
      <c r="K82" s="246">
        <f t="shared" si="12"/>
        <v>2843268.3533206959</v>
      </c>
    </row>
    <row r="83" spans="1:11" ht="18" customHeight="1" thickBot="1" x14ac:dyDescent="0.25">
      <c r="A83" s="435"/>
      <c r="F83" s="469"/>
      <c r="G83" s="469"/>
      <c r="H83" s="508"/>
      <c r="I83" s="508"/>
      <c r="J83" s="508"/>
      <c r="K83" s="508"/>
    </row>
    <row r="84" spans="1:11" ht="42.75" customHeight="1" x14ac:dyDescent="0.2">
      <c r="F84" s="454" t="s">
        <v>9</v>
      </c>
      <c r="G84" s="454" t="s">
        <v>37</v>
      </c>
      <c r="H84" s="503" t="s">
        <v>29</v>
      </c>
      <c r="I84" s="503" t="s">
        <v>30</v>
      </c>
      <c r="J84" s="503" t="s">
        <v>33</v>
      </c>
      <c r="K84" s="503" t="s">
        <v>34</v>
      </c>
    </row>
    <row r="85" spans="1:11" ht="18" customHeight="1" x14ac:dyDescent="0.2">
      <c r="A85" s="455" t="s">
        <v>111</v>
      </c>
      <c r="B85" s="421" t="s">
        <v>57</v>
      </c>
    </row>
    <row r="86" spans="1:11" ht="18" customHeight="1" x14ac:dyDescent="0.2">
      <c r="A86" s="435" t="s">
        <v>112</v>
      </c>
      <c r="B86" s="419" t="s">
        <v>113</v>
      </c>
      <c r="F86" s="221">
        <v>12181</v>
      </c>
      <c r="G86" s="221">
        <v>914</v>
      </c>
      <c r="H86" s="246">
        <v>477918</v>
      </c>
      <c r="I86" s="247">
        <f t="shared" ref="I86:I96" si="13">H86*F$114</f>
        <v>329285.50199999998</v>
      </c>
      <c r="J86" s="246">
        <v>423384</v>
      </c>
      <c r="K86" s="246">
        <f t="shared" ref="K86:K96" si="14">(H86+I86)-J86</f>
        <v>383819.50199999998</v>
      </c>
    </row>
    <row r="87" spans="1:11" ht="18" customHeight="1" x14ac:dyDescent="0.2">
      <c r="A87" s="435" t="s">
        <v>114</v>
      </c>
      <c r="B87" s="419" t="s">
        <v>14</v>
      </c>
      <c r="F87" s="221"/>
      <c r="G87" s="221"/>
      <c r="H87" s="246"/>
      <c r="I87" s="247">
        <f t="shared" si="13"/>
        <v>0</v>
      </c>
      <c r="J87" s="246"/>
      <c r="K87" s="246">
        <f t="shared" si="14"/>
        <v>0</v>
      </c>
    </row>
    <row r="88" spans="1:11" ht="18" customHeight="1" x14ac:dyDescent="0.2">
      <c r="A88" s="435" t="s">
        <v>115</v>
      </c>
      <c r="B88" s="419" t="s">
        <v>116</v>
      </c>
      <c r="F88" s="221"/>
      <c r="G88" s="221">
        <v>16796</v>
      </c>
      <c r="H88" s="246">
        <v>245144</v>
      </c>
      <c r="I88" s="247">
        <f t="shared" si="13"/>
        <v>168904.21599999999</v>
      </c>
      <c r="J88" s="246"/>
      <c r="K88" s="246">
        <f t="shared" si="14"/>
        <v>414048.21600000001</v>
      </c>
    </row>
    <row r="89" spans="1:11" ht="18" customHeight="1" x14ac:dyDescent="0.2">
      <c r="A89" s="435" t="s">
        <v>117</v>
      </c>
      <c r="B89" s="419" t="s">
        <v>58</v>
      </c>
      <c r="F89" s="221"/>
      <c r="G89" s="221"/>
      <c r="H89" s="246"/>
      <c r="I89" s="247">
        <f t="shared" si="13"/>
        <v>0</v>
      </c>
      <c r="J89" s="246"/>
      <c r="K89" s="246">
        <f t="shared" si="14"/>
        <v>0</v>
      </c>
    </row>
    <row r="90" spans="1:11" ht="18" customHeight="1" x14ac:dyDescent="0.2">
      <c r="A90" s="435" t="s">
        <v>118</v>
      </c>
      <c r="B90" s="465" t="s">
        <v>59</v>
      </c>
      <c r="C90" s="466"/>
      <c r="F90" s="221"/>
      <c r="G90" s="221"/>
      <c r="H90" s="246"/>
      <c r="I90" s="247">
        <f t="shared" si="13"/>
        <v>0</v>
      </c>
      <c r="J90" s="246"/>
      <c r="K90" s="246">
        <f t="shared" si="14"/>
        <v>0</v>
      </c>
    </row>
    <row r="91" spans="1:11" ht="18" customHeight="1" x14ac:dyDescent="0.2">
      <c r="A91" s="435" t="s">
        <v>119</v>
      </c>
      <c r="B91" s="419" t="s">
        <v>60</v>
      </c>
      <c r="F91" s="221"/>
      <c r="G91" s="221"/>
      <c r="H91" s="246"/>
      <c r="I91" s="247">
        <f t="shared" si="13"/>
        <v>0</v>
      </c>
      <c r="J91" s="246"/>
      <c r="K91" s="246">
        <f t="shared" si="14"/>
        <v>0</v>
      </c>
    </row>
    <row r="92" spans="1:11" ht="18" customHeight="1" x14ac:dyDescent="0.2">
      <c r="A92" s="435" t="s">
        <v>120</v>
      </c>
      <c r="B92" s="419" t="s">
        <v>121</v>
      </c>
      <c r="F92" s="257"/>
      <c r="G92" s="257"/>
      <c r="H92" s="515"/>
      <c r="I92" s="247">
        <f t="shared" si="13"/>
        <v>0</v>
      </c>
      <c r="J92" s="515"/>
      <c r="K92" s="246">
        <f t="shared" si="14"/>
        <v>0</v>
      </c>
    </row>
    <row r="93" spans="1:11" ht="18" customHeight="1" x14ac:dyDescent="0.2">
      <c r="A93" s="435" t="s">
        <v>122</v>
      </c>
      <c r="B93" s="419" t="s">
        <v>123</v>
      </c>
      <c r="F93" s="221">
        <v>6866</v>
      </c>
      <c r="G93" s="221">
        <v>130</v>
      </c>
      <c r="H93" s="221">
        <v>197730.32</v>
      </c>
      <c r="I93" s="247">
        <f t="shared" si="13"/>
        <v>136236.19047999999</v>
      </c>
      <c r="J93" s="246"/>
      <c r="K93" s="246">
        <f t="shared" si="14"/>
        <v>333966.51048</v>
      </c>
    </row>
    <row r="94" spans="1:11" ht="18" customHeight="1" x14ac:dyDescent="0.2">
      <c r="A94" s="435" t="s">
        <v>124</v>
      </c>
      <c r="B94" s="418" t="s">
        <v>709</v>
      </c>
      <c r="C94" s="417"/>
      <c r="D94" s="412"/>
      <c r="F94" s="221">
        <v>4980</v>
      </c>
      <c r="G94" s="221">
        <v>31</v>
      </c>
      <c r="H94" s="246">
        <v>110935.4</v>
      </c>
      <c r="I94" s="247">
        <f t="shared" si="13"/>
        <v>76434.49059999999</v>
      </c>
      <c r="J94" s="246"/>
      <c r="K94" s="246">
        <f t="shared" si="14"/>
        <v>187369.89059999998</v>
      </c>
    </row>
    <row r="95" spans="1:11" ht="18" customHeight="1" x14ac:dyDescent="0.2">
      <c r="A95" s="435" t="s">
        <v>125</v>
      </c>
      <c r="B95" s="418" t="s">
        <v>710</v>
      </c>
      <c r="C95" s="417"/>
      <c r="D95" s="412"/>
      <c r="F95" s="221">
        <v>1540</v>
      </c>
      <c r="G95" s="221">
        <v>3</v>
      </c>
      <c r="H95" s="221">
        <v>80061.77</v>
      </c>
      <c r="I95" s="247">
        <f t="shared" si="13"/>
        <v>55162.559529999999</v>
      </c>
      <c r="J95" s="246"/>
      <c r="K95" s="246">
        <f t="shared" si="14"/>
        <v>135224.32952999999</v>
      </c>
    </row>
    <row r="96" spans="1:11" ht="18" customHeight="1" x14ac:dyDescent="0.2">
      <c r="A96" s="435" t="s">
        <v>126</v>
      </c>
      <c r="B96" s="418" t="s">
        <v>711</v>
      </c>
      <c r="C96" s="417"/>
      <c r="D96" s="412"/>
      <c r="F96" s="221">
        <v>563.5</v>
      </c>
      <c r="G96" s="221"/>
      <c r="H96" s="246">
        <v>135480</v>
      </c>
      <c r="I96" s="247">
        <f t="shared" si="13"/>
        <v>93345.719999999987</v>
      </c>
      <c r="J96" s="246"/>
      <c r="K96" s="246">
        <f t="shared" si="14"/>
        <v>228825.71999999997</v>
      </c>
    </row>
    <row r="97" spans="1:11" ht="18" customHeight="1" x14ac:dyDescent="0.2">
      <c r="A97" s="435"/>
      <c r="B97" s="419"/>
    </row>
    <row r="98" spans="1:11" ht="18" customHeight="1" x14ac:dyDescent="0.2">
      <c r="A98" s="455" t="s">
        <v>150</v>
      </c>
      <c r="B98" s="421" t="s">
        <v>151</v>
      </c>
      <c r="E98" s="421" t="s">
        <v>7</v>
      </c>
      <c r="F98" s="221">
        <f t="shared" ref="F98:K98" si="15">SUM(F86:F96)</f>
        <v>26130.5</v>
      </c>
      <c r="G98" s="221">
        <f t="shared" si="15"/>
        <v>17874</v>
      </c>
      <c r="H98" s="246">
        <f t="shared" si="15"/>
        <v>1247269.49</v>
      </c>
      <c r="I98" s="246">
        <f t="shared" si="15"/>
        <v>859368.67860999994</v>
      </c>
      <c r="J98" s="246">
        <f t="shared" si="15"/>
        <v>423384</v>
      </c>
      <c r="K98" s="246">
        <f t="shared" si="15"/>
        <v>1683254.1686100001</v>
      </c>
    </row>
    <row r="99" spans="1:11" ht="18" customHeight="1" thickBot="1" x14ac:dyDescent="0.25">
      <c r="B99" s="421"/>
      <c r="F99" s="469"/>
      <c r="G99" s="469"/>
      <c r="H99" s="508"/>
      <c r="I99" s="508"/>
      <c r="J99" s="508"/>
      <c r="K99" s="508"/>
    </row>
    <row r="100" spans="1:11" ht="42.75" customHeight="1" x14ac:dyDescent="0.2">
      <c r="F100" s="454" t="s">
        <v>9</v>
      </c>
      <c r="G100" s="454" t="s">
        <v>37</v>
      </c>
      <c r="H100" s="503" t="s">
        <v>29</v>
      </c>
      <c r="I100" s="503" t="s">
        <v>30</v>
      </c>
      <c r="J100" s="503" t="s">
        <v>33</v>
      </c>
      <c r="K100" s="503" t="s">
        <v>34</v>
      </c>
    </row>
    <row r="101" spans="1:11" ht="18" customHeight="1" x14ac:dyDescent="0.2">
      <c r="A101" s="455" t="s">
        <v>130</v>
      </c>
      <c r="B101" s="421" t="s">
        <v>63</v>
      </c>
    </row>
    <row r="102" spans="1:11" ht="18" customHeight="1" x14ac:dyDescent="0.2">
      <c r="A102" s="435" t="s">
        <v>131</v>
      </c>
      <c r="B102" s="419" t="s">
        <v>152</v>
      </c>
      <c r="F102" s="221">
        <f>+'[9]Submission Summary'!$F$88</f>
        <v>2489</v>
      </c>
      <c r="G102" s="221">
        <v>0</v>
      </c>
      <c r="H102" s="246">
        <f>+'[9]Submission Summary'!$H$88</f>
        <v>124927.37119999999</v>
      </c>
      <c r="I102" s="247">
        <f>H102*F$114</f>
        <v>86074.958756799984</v>
      </c>
      <c r="J102" s="246"/>
      <c r="K102" s="246">
        <f>(H102+I102)-J102</f>
        <v>211002.32995679998</v>
      </c>
    </row>
    <row r="103" spans="1:11" ht="18" customHeight="1" x14ac:dyDescent="0.2">
      <c r="A103" s="435" t="s">
        <v>132</v>
      </c>
      <c r="B103" s="465" t="s">
        <v>62</v>
      </c>
      <c r="C103" s="465"/>
      <c r="F103" s="221"/>
      <c r="G103" s="221"/>
      <c r="H103" s="246"/>
      <c r="I103" s="247">
        <f>H103*F$114</f>
        <v>0</v>
      </c>
      <c r="J103" s="246"/>
      <c r="K103" s="246">
        <f>(H103+I103)-J103</f>
        <v>0</v>
      </c>
    </row>
    <row r="104" spans="1:11" ht="18" customHeight="1" x14ac:dyDescent="0.2">
      <c r="A104" s="435" t="s">
        <v>128</v>
      </c>
      <c r="B104" s="418"/>
      <c r="C104" s="417"/>
      <c r="D104" s="412"/>
      <c r="F104" s="221"/>
      <c r="G104" s="221"/>
      <c r="H104" s="246"/>
      <c r="I104" s="247">
        <f>H104*F$114</f>
        <v>0</v>
      </c>
      <c r="J104" s="246"/>
      <c r="K104" s="246">
        <f>(H104+I104)-J104</f>
        <v>0</v>
      </c>
    </row>
    <row r="105" spans="1:11" ht="18" customHeight="1" x14ac:dyDescent="0.2">
      <c r="A105" s="435" t="s">
        <v>127</v>
      </c>
      <c r="B105" s="418"/>
      <c r="C105" s="417"/>
      <c r="D105" s="412"/>
      <c r="F105" s="221"/>
      <c r="G105" s="221"/>
      <c r="H105" s="246"/>
      <c r="I105" s="247">
        <f>H105*F$114</f>
        <v>0</v>
      </c>
      <c r="J105" s="246"/>
      <c r="K105" s="246">
        <f>(H105+I105)-J105</f>
        <v>0</v>
      </c>
    </row>
    <row r="106" spans="1:11" ht="18" customHeight="1" x14ac:dyDescent="0.2">
      <c r="A106" s="435" t="s">
        <v>129</v>
      </c>
      <c r="B106" s="418"/>
      <c r="C106" s="417"/>
      <c r="D106" s="412"/>
      <c r="F106" s="221"/>
      <c r="G106" s="221"/>
      <c r="H106" s="246"/>
      <c r="I106" s="247">
        <f>H106*F$114</f>
        <v>0</v>
      </c>
      <c r="J106" s="246"/>
      <c r="K106" s="246">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6">SUM(F102:F106)</f>
        <v>2489</v>
      </c>
      <c r="G108" s="221">
        <f t="shared" si="16"/>
        <v>0</v>
      </c>
      <c r="H108" s="246">
        <f t="shared" si="16"/>
        <v>124927.37119999999</v>
      </c>
      <c r="I108" s="246">
        <f t="shared" si="16"/>
        <v>86074.958756799984</v>
      </c>
      <c r="J108" s="246">
        <v>0</v>
      </c>
      <c r="K108" s="246">
        <f t="shared" si="16"/>
        <v>211002.32995679998</v>
      </c>
    </row>
    <row r="109" spans="1:11" s="468" customFormat="1" ht="18" customHeight="1" thickBot="1" x14ac:dyDescent="0.25">
      <c r="A109" s="482"/>
      <c r="B109" s="483"/>
      <c r="C109" s="484"/>
      <c r="D109" s="484"/>
      <c r="E109" s="484"/>
      <c r="F109" s="469"/>
      <c r="G109" s="469"/>
      <c r="H109" s="508"/>
      <c r="I109" s="508"/>
      <c r="J109" s="508"/>
      <c r="K109" s="508"/>
    </row>
    <row r="110" spans="1:11" s="468" customFormat="1" ht="18" customHeight="1" x14ac:dyDescent="0.2">
      <c r="A110" s="455" t="s">
        <v>156</v>
      </c>
      <c r="B110" s="421" t="s">
        <v>39</v>
      </c>
      <c r="C110" s="259"/>
      <c r="D110" s="259"/>
      <c r="E110" s="259"/>
      <c r="F110" s="259"/>
      <c r="G110" s="259"/>
      <c r="H110" s="502"/>
      <c r="I110" s="502"/>
      <c r="J110" s="502"/>
      <c r="K110" s="502"/>
    </row>
    <row r="111" spans="1:11" ht="18" customHeight="1" x14ac:dyDescent="0.2">
      <c r="A111" s="455" t="s">
        <v>155</v>
      </c>
      <c r="B111" s="421" t="s">
        <v>164</v>
      </c>
      <c r="E111" s="421" t="s">
        <v>7</v>
      </c>
      <c r="F111" s="118">
        <v>14621887</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0.68899999999999995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471964200</v>
      </c>
    </row>
    <row r="118" spans="1:6" ht="18" customHeight="1" x14ac:dyDescent="0.2">
      <c r="A118" s="435" t="s">
        <v>173</v>
      </c>
      <c r="B118" s="259" t="s">
        <v>18</v>
      </c>
      <c r="F118" s="118">
        <v>30675700</v>
      </c>
    </row>
    <row r="119" spans="1:6" ht="18" customHeight="1" x14ac:dyDescent="0.2">
      <c r="A119" s="435" t="s">
        <v>174</v>
      </c>
      <c r="B119" s="421" t="s">
        <v>19</v>
      </c>
      <c r="F119" s="118">
        <f>SUM(F117:F118)</f>
        <v>502639900</v>
      </c>
    </row>
    <row r="120" spans="1:6" ht="18" customHeight="1" x14ac:dyDescent="0.2">
      <c r="A120" s="435"/>
      <c r="B120" s="421"/>
    </row>
    <row r="121" spans="1:6" ht="18" customHeight="1" x14ac:dyDescent="0.2">
      <c r="A121" s="435" t="s">
        <v>167</v>
      </c>
      <c r="B121" s="421" t="s">
        <v>36</v>
      </c>
      <c r="F121" s="118">
        <v>483817200</v>
      </c>
    </row>
    <row r="122" spans="1:6" ht="18" customHeight="1" x14ac:dyDescent="0.2">
      <c r="A122" s="435"/>
    </row>
    <row r="123" spans="1:6" ht="18" customHeight="1" x14ac:dyDescent="0.2">
      <c r="A123" s="435" t="s">
        <v>175</v>
      </c>
      <c r="B123" s="421" t="s">
        <v>20</v>
      </c>
      <c r="F123" s="118">
        <f>+F119-F121</f>
        <v>18822700</v>
      </c>
    </row>
    <row r="124" spans="1:6" ht="18" customHeight="1" x14ac:dyDescent="0.2">
      <c r="A124" s="435"/>
    </row>
    <row r="125" spans="1:6" ht="18" customHeight="1" x14ac:dyDescent="0.2">
      <c r="A125" s="435" t="s">
        <v>176</v>
      </c>
      <c r="B125" s="421" t="s">
        <v>21</v>
      </c>
      <c r="F125" s="118">
        <v>10506600</v>
      </c>
    </row>
    <row r="126" spans="1:6" ht="18" customHeight="1" x14ac:dyDescent="0.2">
      <c r="A126" s="435"/>
      <c r="F126" s="516"/>
    </row>
    <row r="127" spans="1:6" ht="18" customHeight="1" x14ac:dyDescent="0.2">
      <c r="A127" s="435" t="s">
        <v>177</v>
      </c>
      <c r="B127" s="421" t="s">
        <v>22</v>
      </c>
      <c r="F127" s="118">
        <f>+F123+F125</f>
        <v>29329300</v>
      </c>
    </row>
    <row r="128" spans="1:6" ht="18" customHeight="1" x14ac:dyDescent="0.2">
      <c r="A128" s="435"/>
    </row>
    <row r="129" spans="1:11" ht="42.75" customHeight="1" x14ac:dyDescent="0.2">
      <c r="F129" s="454" t="s">
        <v>9</v>
      </c>
      <c r="G129" s="454" t="s">
        <v>37</v>
      </c>
      <c r="H129" s="503" t="s">
        <v>29</v>
      </c>
      <c r="I129" s="503" t="s">
        <v>30</v>
      </c>
      <c r="J129" s="503" t="s">
        <v>33</v>
      </c>
      <c r="K129" s="503" t="s">
        <v>34</v>
      </c>
    </row>
    <row r="130" spans="1:11" ht="18" customHeight="1" x14ac:dyDescent="0.2">
      <c r="A130" s="455" t="s">
        <v>157</v>
      </c>
      <c r="B130" s="421" t="s">
        <v>23</v>
      </c>
    </row>
    <row r="131" spans="1:11" ht="18" customHeight="1" x14ac:dyDescent="0.2">
      <c r="A131" s="435" t="s">
        <v>158</v>
      </c>
      <c r="B131" s="259" t="s">
        <v>24</v>
      </c>
      <c r="F131" s="221"/>
      <c r="G131" s="221"/>
      <c r="H131" s="246"/>
      <c r="I131" s="247">
        <v>0</v>
      </c>
      <c r="J131" s="246"/>
      <c r="K131" s="246">
        <f>(H131+I131)-J131</f>
        <v>0</v>
      </c>
    </row>
    <row r="132" spans="1:11" ht="18" customHeight="1" x14ac:dyDescent="0.2">
      <c r="A132" s="435" t="s">
        <v>159</v>
      </c>
      <c r="B132" s="259" t="s">
        <v>25</v>
      </c>
      <c r="F132" s="221"/>
      <c r="G132" s="221"/>
      <c r="H132" s="246"/>
      <c r="I132" s="247">
        <v>0</v>
      </c>
      <c r="J132" s="246"/>
      <c r="K132" s="246">
        <f>(H132+I132)-J132</f>
        <v>0</v>
      </c>
    </row>
    <row r="133" spans="1:11" ht="18" customHeight="1" x14ac:dyDescent="0.2">
      <c r="A133" s="435" t="s">
        <v>160</v>
      </c>
      <c r="B133" s="456"/>
      <c r="C133" s="457"/>
      <c r="D133" s="458"/>
      <c r="F133" s="221"/>
      <c r="G133" s="221"/>
      <c r="H133" s="246"/>
      <c r="I133" s="247">
        <v>0</v>
      </c>
      <c r="J133" s="246"/>
      <c r="K133" s="246">
        <f>(H133+I133)-J133</f>
        <v>0</v>
      </c>
    </row>
    <row r="134" spans="1:11" ht="18" customHeight="1" x14ac:dyDescent="0.2">
      <c r="A134" s="435" t="s">
        <v>161</v>
      </c>
      <c r="B134" s="456"/>
      <c r="C134" s="457"/>
      <c r="D134" s="458"/>
      <c r="F134" s="221"/>
      <c r="G134" s="221"/>
      <c r="H134" s="246"/>
      <c r="I134" s="247">
        <v>0</v>
      </c>
      <c r="J134" s="246"/>
      <c r="K134" s="246">
        <f>(H134+I134)-J134</f>
        <v>0</v>
      </c>
    </row>
    <row r="135" spans="1:11" ht="18" customHeight="1" x14ac:dyDescent="0.2">
      <c r="A135" s="435" t="s">
        <v>162</v>
      </c>
      <c r="B135" s="456"/>
      <c r="C135" s="457"/>
      <c r="D135" s="458"/>
      <c r="F135" s="221"/>
      <c r="G135" s="221"/>
      <c r="H135" s="246"/>
      <c r="I135" s="247">
        <v>0</v>
      </c>
      <c r="J135" s="246"/>
      <c r="K135" s="246">
        <f>(H135+I135)-J135</f>
        <v>0</v>
      </c>
    </row>
    <row r="136" spans="1:11" ht="18" customHeight="1" x14ac:dyDescent="0.2">
      <c r="A136" s="455"/>
    </row>
    <row r="137" spans="1:11" ht="18" customHeight="1" x14ac:dyDescent="0.2">
      <c r="A137" s="455" t="s">
        <v>163</v>
      </c>
      <c r="B137" s="421" t="s">
        <v>27</v>
      </c>
      <c r="F137" s="221">
        <f t="shared" ref="F137:K137" si="17">SUM(F131:F135)</f>
        <v>0</v>
      </c>
      <c r="G137" s="221">
        <f t="shared" si="17"/>
        <v>0</v>
      </c>
      <c r="H137" s="246">
        <f t="shared" si="17"/>
        <v>0</v>
      </c>
      <c r="I137" s="246">
        <f t="shared" si="17"/>
        <v>0</v>
      </c>
      <c r="J137" s="246">
        <v>0</v>
      </c>
      <c r="K137" s="246">
        <f t="shared" si="17"/>
        <v>0</v>
      </c>
    </row>
    <row r="138" spans="1:11" ht="18" customHeight="1" x14ac:dyDescent="0.2">
      <c r="A138" s="259"/>
    </row>
    <row r="139" spans="1:11" ht="42.75" customHeight="1" x14ac:dyDescent="0.2">
      <c r="F139" s="454" t="s">
        <v>9</v>
      </c>
      <c r="G139" s="454" t="s">
        <v>37</v>
      </c>
      <c r="H139" s="503" t="s">
        <v>29</v>
      </c>
      <c r="I139" s="503" t="s">
        <v>30</v>
      </c>
      <c r="J139" s="503" t="s">
        <v>33</v>
      </c>
      <c r="K139" s="503" t="s">
        <v>34</v>
      </c>
    </row>
    <row r="140" spans="1:11" ht="18" customHeight="1" x14ac:dyDescent="0.2">
      <c r="A140" s="455" t="s">
        <v>166</v>
      </c>
      <c r="B140" s="421" t="s">
        <v>26</v>
      </c>
    </row>
    <row r="141" spans="1:11" ht="18" customHeight="1" x14ac:dyDescent="0.2">
      <c r="A141" s="435" t="s">
        <v>137</v>
      </c>
      <c r="B141" s="421" t="s">
        <v>64</v>
      </c>
      <c r="F141" s="422">
        <f t="shared" ref="F141:K141" si="18">F36</f>
        <v>42952.399999999994</v>
      </c>
      <c r="G141" s="422">
        <f t="shared" si="18"/>
        <v>35506</v>
      </c>
      <c r="H141" s="512">
        <f t="shared" si="18"/>
        <v>5283631.8992269561</v>
      </c>
      <c r="I141" s="512">
        <f t="shared" si="18"/>
        <v>3640422.378567372</v>
      </c>
      <c r="J141" s="512">
        <f t="shared" si="18"/>
        <v>196579</v>
      </c>
      <c r="K141" s="512">
        <f t="shared" si="18"/>
        <v>8727475.2777943276</v>
      </c>
    </row>
    <row r="142" spans="1:11" ht="18" customHeight="1" x14ac:dyDescent="0.2">
      <c r="A142" s="435" t="s">
        <v>142</v>
      </c>
      <c r="B142" s="421" t="s">
        <v>65</v>
      </c>
      <c r="F142" s="422">
        <f t="shared" ref="F142:K142" si="19">F49</f>
        <v>138112.5</v>
      </c>
      <c r="G142" s="422">
        <f t="shared" si="19"/>
        <v>0</v>
      </c>
      <c r="H142" s="512">
        <f t="shared" si="19"/>
        <v>6398533.3989999993</v>
      </c>
      <c r="I142" s="512">
        <f t="shared" si="19"/>
        <v>4408589.5119110001</v>
      </c>
      <c r="J142" s="512">
        <f t="shared" si="19"/>
        <v>300000</v>
      </c>
      <c r="K142" s="512">
        <f t="shared" si="19"/>
        <v>10507122.910910999</v>
      </c>
    </row>
    <row r="143" spans="1:11" ht="18" customHeight="1" x14ac:dyDescent="0.2">
      <c r="A143" s="435" t="s">
        <v>144</v>
      </c>
      <c r="B143" s="421" t="s">
        <v>66</v>
      </c>
      <c r="F143" s="422">
        <f t="shared" ref="F143:K143" si="20">F64</f>
        <v>136679</v>
      </c>
      <c r="G143" s="422">
        <f t="shared" si="20"/>
        <v>7322</v>
      </c>
      <c r="H143" s="512">
        <f t="shared" si="20"/>
        <v>10140511</v>
      </c>
      <c r="I143" s="512">
        <f t="shared" si="20"/>
        <v>6986812.078999998</v>
      </c>
      <c r="J143" s="512">
        <f t="shared" si="20"/>
        <v>870803</v>
      </c>
      <c r="K143" s="512">
        <f t="shared" si="20"/>
        <v>16256520.079</v>
      </c>
    </row>
    <row r="144" spans="1:11" ht="18" customHeight="1" x14ac:dyDescent="0.2">
      <c r="A144" s="435" t="s">
        <v>146</v>
      </c>
      <c r="B144" s="421" t="s">
        <v>67</v>
      </c>
      <c r="F144" s="422">
        <f t="shared" ref="F144:K144" si="21">F74</f>
        <v>11004</v>
      </c>
      <c r="G144" s="422">
        <f t="shared" si="21"/>
        <v>1766</v>
      </c>
      <c r="H144" s="512">
        <f t="shared" si="21"/>
        <v>522631</v>
      </c>
      <c r="I144" s="512">
        <f t="shared" si="21"/>
        <v>360092.75899999996</v>
      </c>
      <c r="J144" s="512">
        <f t="shared" si="21"/>
        <v>92143</v>
      </c>
      <c r="K144" s="512">
        <f t="shared" si="21"/>
        <v>790580.75899999996</v>
      </c>
    </row>
    <row r="145" spans="1:11" ht="18" customHeight="1" x14ac:dyDescent="0.2">
      <c r="A145" s="435" t="s">
        <v>148</v>
      </c>
      <c r="B145" s="421" t="s">
        <v>68</v>
      </c>
      <c r="F145" s="422">
        <f t="shared" ref="F145:K145" si="22">F82</f>
        <v>3943.5</v>
      </c>
      <c r="G145" s="422">
        <f t="shared" si="22"/>
        <v>607</v>
      </c>
      <c r="H145" s="512">
        <f t="shared" si="22"/>
        <v>2439353.1215634667</v>
      </c>
      <c r="I145" s="512">
        <f t="shared" si="22"/>
        <v>403915.23175722861</v>
      </c>
      <c r="J145" s="512">
        <f t="shared" si="22"/>
        <v>0</v>
      </c>
      <c r="K145" s="512">
        <f t="shared" si="22"/>
        <v>2843268.3533206959</v>
      </c>
    </row>
    <row r="146" spans="1:11" ht="18" customHeight="1" x14ac:dyDescent="0.2">
      <c r="A146" s="435" t="s">
        <v>150</v>
      </c>
      <c r="B146" s="421" t="s">
        <v>69</v>
      </c>
      <c r="F146" s="422">
        <f t="shared" ref="F146:K146" si="23">F98</f>
        <v>26130.5</v>
      </c>
      <c r="G146" s="422">
        <f t="shared" si="23"/>
        <v>17874</v>
      </c>
      <c r="H146" s="512">
        <f t="shared" si="23"/>
        <v>1247269.49</v>
      </c>
      <c r="I146" s="512">
        <f t="shared" si="23"/>
        <v>859368.67860999994</v>
      </c>
      <c r="J146" s="512">
        <f t="shared" si="23"/>
        <v>423384</v>
      </c>
      <c r="K146" s="512">
        <f t="shared" si="23"/>
        <v>1683254.1686100001</v>
      </c>
    </row>
    <row r="147" spans="1:11" ht="18" customHeight="1" x14ac:dyDescent="0.2">
      <c r="A147" s="435" t="s">
        <v>153</v>
      </c>
      <c r="B147" s="421" t="s">
        <v>61</v>
      </c>
      <c r="F147" s="221">
        <f t="shared" ref="F147:K147" si="24">F108</f>
        <v>2489</v>
      </c>
      <c r="G147" s="221">
        <f t="shared" si="24"/>
        <v>0</v>
      </c>
      <c r="H147" s="246">
        <f t="shared" si="24"/>
        <v>124927.37119999999</v>
      </c>
      <c r="I147" s="246">
        <f t="shared" si="24"/>
        <v>86074.958756799984</v>
      </c>
      <c r="J147" s="246">
        <f t="shared" si="24"/>
        <v>0</v>
      </c>
      <c r="K147" s="246">
        <f t="shared" si="24"/>
        <v>211002.32995679998</v>
      </c>
    </row>
    <row r="148" spans="1:11" ht="18" customHeight="1" x14ac:dyDescent="0.2">
      <c r="A148" s="435" t="s">
        <v>155</v>
      </c>
      <c r="B148" s="421" t="s">
        <v>70</v>
      </c>
      <c r="F148" s="485" t="s">
        <v>73</v>
      </c>
      <c r="G148" s="485" t="s">
        <v>73</v>
      </c>
      <c r="H148" s="517" t="s">
        <v>73</v>
      </c>
      <c r="I148" s="517" t="s">
        <v>73</v>
      </c>
      <c r="J148" s="517" t="s">
        <v>73</v>
      </c>
      <c r="K148" s="512">
        <f>F111</f>
        <v>14621887</v>
      </c>
    </row>
    <row r="149" spans="1:11" ht="18" customHeight="1" x14ac:dyDescent="0.2">
      <c r="A149" s="435" t="s">
        <v>163</v>
      </c>
      <c r="B149" s="421" t="s">
        <v>71</v>
      </c>
      <c r="F149" s="221">
        <f t="shared" ref="F149:K149" si="25">F137</f>
        <v>0</v>
      </c>
      <c r="G149" s="221">
        <f t="shared" si="25"/>
        <v>0</v>
      </c>
      <c r="H149" s="246">
        <f t="shared" si="25"/>
        <v>0</v>
      </c>
      <c r="I149" s="246">
        <f t="shared" si="25"/>
        <v>0</v>
      </c>
      <c r="J149" s="246">
        <f t="shared" si="25"/>
        <v>0</v>
      </c>
      <c r="K149" s="246">
        <f t="shared" si="25"/>
        <v>0</v>
      </c>
    </row>
    <row r="150" spans="1:11" ht="18" customHeight="1" x14ac:dyDescent="0.2">
      <c r="A150" s="435" t="s">
        <v>185</v>
      </c>
      <c r="B150" s="421" t="s">
        <v>186</v>
      </c>
      <c r="F150" s="485" t="s">
        <v>73</v>
      </c>
      <c r="G150" s="485" t="s">
        <v>73</v>
      </c>
      <c r="H150" s="246">
        <f>H18</f>
        <v>11638434</v>
      </c>
      <c r="I150" s="246">
        <f>I18</f>
        <v>0</v>
      </c>
      <c r="J150" s="246">
        <f>J18</f>
        <v>9836773</v>
      </c>
      <c r="K150" s="246">
        <f>K18</f>
        <v>1801661</v>
      </c>
    </row>
    <row r="151" spans="1:11" ht="18" customHeight="1" x14ac:dyDescent="0.2">
      <c r="B151" s="421"/>
      <c r="F151" s="478"/>
      <c r="G151" s="478"/>
      <c r="H151" s="509"/>
      <c r="I151" s="509"/>
      <c r="J151" s="509"/>
      <c r="K151" s="509"/>
    </row>
    <row r="152" spans="1:11" ht="18" customHeight="1" x14ac:dyDescent="0.2">
      <c r="A152" s="455" t="s">
        <v>165</v>
      </c>
      <c r="B152" s="421" t="s">
        <v>26</v>
      </c>
      <c r="F152" s="487">
        <f t="shared" ref="F152:K152" si="26">SUM(F141:F150)</f>
        <v>361310.9</v>
      </c>
      <c r="G152" s="487">
        <f t="shared" si="26"/>
        <v>63075</v>
      </c>
      <c r="H152" s="518">
        <f t="shared" si="26"/>
        <v>37795291.280990422</v>
      </c>
      <c r="I152" s="518">
        <f t="shared" si="26"/>
        <v>16745275.597602401</v>
      </c>
      <c r="J152" s="518">
        <f t="shared" si="26"/>
        <v>11719682</v>
      </c>
      <c r="K152" s="518">
        <f t="shared" si="26"/>
        <v>57442771.878592819</v>
      </c>
    </row>
    <row r="153" spans="1:11" ht="18" customHeight="1" x14ac:dyDescent="0.2">
      <c r="F153" s="499"/>
      <c r="G153" s="499"/>
      <c r="H153" s="499"/>
      <c r="I153" s="499"/>
      <c r="J153" s="499"/>
      <c r="K153" s="499"/>
    </row>
    <row r="154" spans="1:11" ht="18" customHeight="1" x14ac:dyDescent="0.2">
      <c r="A154" s="455" t="s">
        <v>168</v>
      </c>
      <c r="B154" s="421" t="s">
        <v>28</v>
      </c>
      <c r="F154" s="140">
        <f>K152/F121</f>
        <v>0.118728254966117</v>
      </c>
      <c r="G154" s="499"/>
      <c r="H154" s="499"/>
      <c r="I154" s="499"/>
      <c r="J154" s="499"/>
      <c r="K154" s="499"/>
    </row>
    <row r="155" spans="1:11" ht="18" customHeight="1" x14ac:dyDescent="0.2">
      <c r="A155" s="455" t="s">
        <v>169</v>
      </c>
      <c r="B155" s="421" t="s">
        <v>72</v>
      </c>
      <c r="F155" s="140">
        <f>K152/F127</f>
        <v>1.9585456140648709</v>
      </c>
      <c r="G155" s="421"/>
    </row>
    <row r="156" spans="1:11" ht="18" customHeight="1" x14ac:dyDescent="0.2">
      <c r="G156" s="421"/>
    </row>
  </sheetData>
  <sheetProtection algorithmName="SHA-512" hashValue="jKHyvh1GTpVbAzJWkiJPFAeWjhBXnRkSAFu8Q80UnOmkITYDVl0PqGBZi30+H4n6FFAf/oxS2xjMXxfXh4yTBw==" saltValue="3vLddx9QTC5yHbRIvQmGVQ==" spinCount="100000" sheet="1" objects="1" scenarios="1"/>
  <mergeCells count="34">
    <mergeCell ref="B105:D105"/>
    <mergeCell ref="B30:D30"/>
    <mergeCell ref="B31:D31"/>
    <mergeCell ref="B34:D34"/>
    <mergeCell ref="B90:C90"/>
    <mergeCell ref="B44:D44"/>
    <mergeCell ref="B45:D45"/>
    <mergeCell ref="B46:D46"/>
    <mergeCell ref="B47:D47"/>
    <mergeCell ref="B52:C52"/>
    <mergeCell ref="B53:D53"/>
    <mergeCell ref="B55:D55"/>
    <mergeCell ref="B56:D56"/>
    <mergeCell ref="B13:H13"/>
    <mergeCell ref="B41:C41"/>
    <mergeCell ref="B96:D96"/>
    <mergeCell ref="B103:C103"/>
    <mergeCell ref="B104:D104"/>
    <mergeCell ref="B134:D134"/>
    <mergeCell ref="B135:D135"/>
    <mergeCell ref="B94:D94"/>
    <mergeCell ref="B95:D95"/>
    <mergeCell ref="D2:H2"/>
    <mergeCell ref="C5:G5"/>
    <mergeCell ref="C6:G6"/>
    <mergeCell ref="B106:D106"/>
    <mergeCell ref="B133:D133"/>
    <mergeCell ref="B57:D57"/>
    <mergeCell ref="B59:D59"/>
    <mergeCell ref="B62:D62"/>
    <mergeCell ref="C7:G7"/>
    <mergeCell ref="C9:G9"/>
    <mergeCell ref="C10:G10"/>
    <mergeCell ref="C11:G1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56"/>
  <sheetViews>
    <sheetView showGridLines="0" zoomScale="85" zoomScaleNormal="85" zoomScaleSheetLayoutView="80" workbookViewId="0">
      <selection activeCell="B8" sqref="B8"/>
    </sheetView>
  </sheetViews>
  <sheetFormatPr defaultColWidth="9" defaultRowHeight="18" customHeight="1" x14ac:dyDescent="0.2"/>
  <cols>
    <col min="1" max="1" width="8.28515625" style="519" customWidth="1"/>
    <col min="2" max="2" width="55.42578125" style="520" bestFit="1" customWidth="1"/>
    <col min="3" max="3" width="9.5703125" style="520" customWidth="1"/>
    <col min="4" max="4" width="9" style="520"/>
    <col min="5" max="5" width="12.42578125" style="520" customWidth="1"/>
    <col min="6" max="6" width="18.5703125" style="520" customWidth="1"/>
    <col min="7" max="7" width="23.5703125" style="520" customWidth="1"/>
    <col min="8" max="8" width="17.140625" style="520" customWidth="1"/>
    <col min="9" max="9" width="21.140625" style="520" customWidth="1"/>
    <col min="10" max="10" width="19.85546875" style="520" customWidth="1"/>
    <col min="11" max="11" width="17.5703125" style="520" customWidth="1"/>
    <col min="12" max="16384" width="9" style="520"/>
  </cols>
  <sheetData>
    <row r="1" spans="1:11" ht="18" customHeight="1" x14ac:dyDescent="0.2">
      <c r="C1" s="521"/>
      <c r="D1" s="522"/>
      <c r="E1" s="521"/>
      <c r="F1" s="521"/>
      <c r="G1" s="521"/>
      <c r="H1" s="521"/>
      <c r="I1" s="521"/>
      <c r="J1" s="521"/>
      <c r="K1" s="521"/>
    </row>
    <row r="2" spans="1:11" ht="18" customHeight="1" x14ac:dyDescent="0.25">
      <c r="D2" s="523" t="s">
        <v>669</v>
      </c>
      <c r="E2" s="524"/>
      <c r="F2" s="524"/>
      <c r="G2" s="524"/>
      <c r="H2" s="524"/>
    </row>
    <row r="3" spans="1:11" ht="18" customHeight="1" x14ac:dyDescent="0.2">
      <c r="B3" s="525" t="s">
        <v>0</v>
      </c>
    </row>
    <row r="5" spans="1:11" ht="18" customHeight="1" x14ac:dyDescent="0.2">
      <c r="B5" s="526" t="s">
        <v>40</v>
      </c>
      <c r="C5" s="527" t="s">
        <v>301</v>
      </c>
      <c r="D5" s="528"/>
      <c r="E5" s="528"/>
      <c r="F5" s="528"/>
      <c r="G5" s="529"/>
    </row>
    <row r="6" spans="1:11" ht="18" customHeight="1" x14ac:dyDescent="0.2">
      <c r="B6" s="526" t="s">
        <v>3</v>
      </c>
      <c r="C6" s="530" t="s">
        <v>302</v>
      </c>
      <c r="D6" s="531"/>
      <c r="E6" s="531"/>
      <c r="F6" s="531"/>
      <c r="G6" s="532"/>
    </row>
    <row r="7" spans="1:11" ht="18" customHeight="1" x14ac:dyDescent="0.2">
      <c r="B7" s="526" t="s">
        <v>4</v>
      </c>
      <c r="C7" s="533"/>
      <c r="D7" s="534"/>
      <c r="E7" s="534"/>
      <c r="F7" s="534"/>
      <c r="G7" s="535"/>
    </row>
    <row r="9" spans="1:11" ht="18" customHeight="1" x14ac:dyDescent="0.2">
      <c r="B9" s="526" t="s">
        <v>1</v>
      </c>
      <c r="C9" s="527" t="s">
        <v>303</v>
      </c>
      <c r="D9" s="528"/>
      <c r="E9" s="528"/>
      <c r="F9" s="528"/>
      <c r="G9" s="529"/>
    </row>
    <row r="10" spans="1:11" ht="18" customHeight="1" x14ac:dyDescent="0.2">
      <c r="B10" s="526" t="s">
        <v>2</v>
      </c>
      <c r="C10" s="536" t="s">
        <v>304</v>
      </c>
      <c r="D10" s="537"/>
      <c r="E10" s="537"/>
      <c r="F10" s="537"/>
      <c r="G10" s="538"/>
    </row>
    <row r="11" spans="1:11" ht="18" customHeight="1" x14ac:dyDescent="0.25">
      <c r="B11" s="526" t="s">
        <v>32</v>
      </c>
      <c r="C11" s="539" t="s">
        <v>305</v>
      </c>
      <c r="D11" s="540"/>
      <c r="E11" s="540"/>
      <c r="F11" s="540"/>
      <c r="G11" s="540"/>
    </row>
    <row r="12" spans="1:11" ht="18" customHeight="1" x14ac:dyDescent="0.2">
      <c r="B12" s="526"/>
      <c r="C12" s="526"/>
      <c r="D12" s="526"/>
      <c r="E12" s="526"/>
      <c r="F12" s="526"/>
      <c r="G12" s="526"/>
    </row>
    <row r="13" spans="1:11" ht="24.6" customHeight="1" x14ac:dyDescent="0.2">
      <c r="B13" s="541"/>
      <c r="C13" s="542"/>
      <c r="D13" s="542"/>
      <c r="E13" s="542"/>
      <c r="F13" s="542"/>
      <c r="G13" s="542"/>
      <c r="H13" s="543"/>
      <c r="I13" s="521"/>
    </row>
    <row r="14" spans="1:11" ht="18" customHeight="1" x14ac:dyDescent="0.2">
      <c r="B14" s="544"/>
    </row>
    <row r="15" spans="1:11" ht="18" customHeight="1" x14ac:dyDescent="0.2">
      <c r="B15" s="544"/>
    </row>
    <row r="16" spans="1:11" ht="45" customHeight="1" x14ac:dyDescent="0.2">
      <c r="A16" s="522" t="s">
        <v>181</v>
      </c>
      <c r="B16" s="521"/>
      <c r="C16" s="521"/>
      <c r="D16" s="521"/>
      <c r="E16" s="521"/>
      <c r="F16" s="545" t="s">
        <v>9</v>
      </c>
      <c r="G16" s="545" t="s">
        <v>37</v>
      </c>
      <c r="H16" s="545" t="s">
        <v>29</v>
      </c>
      <c r="I16" s="545" t="s">
        <v>30</v>
      </c>
      <c r="J16" s="545" t="s">
        <v>33</v>
      </c>
      <c r="K16" s="545" t="s">
        <v>34</v>
      </c>
    </row>
    <row r="17" spans="1:11" ht="18" customHeight="1" x14ac:dyDescent="0.2">
      <c r="A17" s="546" t="s">
        <v>184</v>
      </c>
      <c r="B17" s="525" t="s">
        <v>182</v>
      </c>
    </row>
    <row r="18" spans="1:11" ht="18" customHeight="1" x14ac:dyDescent="0.2">
      <c r="A18" s="526" t="s">
        <v>185</v>
      </c>
      <c r="B18" s="547" t="s">
        <v>183</v>
      </c>
      <c r="F18" s="101" t="s">
        <v>73</v>
      </c>
      <c r="G18" s="101" t="s">
        <v>73</v>
      </c>
      <c r="H18" s="141">
        <v>49880424</v>
      </c>
      <c r="I18" s="141">
        <v>0</v>
      </c>
      <c r="J18" s="141">
        <v>42158801</v>
      </c>
      <c r="K18" s="141">
        <f>(H18+I18)-J18</f>
        <v>7721623</v>
      </c>
    </row>
    <row r="19" spans="1:11" ht="45" customHeight="1" x14ac:dyDescent="0.2">
      <c r="A19" s="522" t="s">
        <v>8</v>
      </c>
      <c r="B19" s="521"/>
      <c r="C19" s="521"/>
      <c r="D19" s="521"/>
      <c r="E19" s="521"/>
      <c r="F19" s="545" t="s">
        <v>9</v>
      </c>
      <c r="G19" s="545" t="s">
        <v>37</v>
      </c>
      <c r="H19" s="545" t="s">
        <v>29</v>
      </c>
      <c r="I19" s="545" t="s">
        <v>30</v>
      </c>
      <c r="J19" s="545" t="s">
        <v>33</v>
      </c>
      <c r="K19" s="545" t="s">
        <v>34</v>
      </c>
    </row>
    <row r="20" spans="1:11" ht="18" customHeight="1" x14ac:dyDescent="0.2">
      <c r="A20" s="546" t="s">
        <v>74</v>
      </c>
      <c r="B20" s="525" t="s">
        <v>41</v>
      </c>
    </row>
    <row r="21" spans="1:11" ht="18" customHeight="1" x14ac:dyDescent="0.2">
      <c r="A21" s="526" t="s">
        <v>75</v>
      </c>
      <c r="B21" s="547" t="s">
        <v>42</v>
      </c>
      <c r="F21" s="101">
        <v>4906.7</v>
      </c>
      <c r="G21" s="101">
        <v>516749.34</v>
      </c>
      <c r="H21" s="141">
        <v>463453.43359999999</v>
      </c>
      <c r="I21" s="141">
        <v>212771.47136575996</v>
      </c>
      <c r="J21" s="141">
        <v>14000</v>
      </c>
      <c r="K21" s="141">
        <f t="shared" ref="K21:K34" si="0">(H21+I21)-J21</f>
        <v>662224.90496575995</v>
      </c>
    </row>
    <row r="22" spans="1:11" ht="18" customHeight="1" x14ac:dyDescent="0.2">
      <c r="A22" s="526" t="s">
        <v>76</v>
      </c>
      <c r="B22" s="520" t="s">
        <v>6</v>
      </c>
      <c r="F22" s="101">
        <v>916</v>
      </c>
      <c r="G22" s="101">
        <v>2974</v>
      </c>
      <c r="H22" s="141">
        <v>59806.5</v>
      </c>
      <c r="I22" s="141">
        <v>27457.164150000001</v>
      </c>
      <c r="J22" s="141">
        <v>0</v>
      </c>
      <c r="K22" s="141">
        <f t="shared" si="0"/>
        <v>87263.664149999997</v>
      </c>
    </row>
    <row r="23" spans="1:11" ht="18" customHeight="1" x14ac:dyDescent="0.2">
      <c r="A23" s="526" t="s">
        <v>77</v>
      </c>
      <c r="B23" s="520" t="s">
        <v>43</v>
      </c>
      <c r="F23" s="101">
        <v>0</v>
      </c>
      <c r="G23" s="101">
        <v>0</v>
      </c>
      <c r="H23" s="141">
        <v>0</v>
      </c>
      <c r="I23" s="141">
        <v>0</v>
      </c>
      <c r="J23" s="141">
        <v>0</v>
      </c>
      <c r="K23" s="141">
        <f t="shared" si="0"/>
        <v>0</v>
      </c>
    </row>
    <row r="24" spans="1:11" ht="18" customHeight="1" x14ac:dyDescent="0.2">
      <c r="A24" s="526" t="s">
        <v>78</v>
      </c>
      <c r="B24" s="520" t="s">
        <v>44</v>
      </c>
      <c r="F24" s="101">
        <v>7153</v>
      </c>
      <c r="G24" s="101">
        <v>2198</v>
      </c>
      <c r="H24" s="141">
        <v>268584.66000000003</v>
      </c>
      <c r="I24" s="141">
        <v>123307.217406</v>
      </c>
      <c r="J24" s="141">
        <v>0</v>
      </c>
      <c r="K24" s="141">
        <f t="shared" si="0"/>
        <v>391891.87740600004</v>
      </c>
    </row>
    <row r="25" spans="1:11" ht="18" customHeight="1" x14ac:dyDescent="0.2">
      <c r="A25" s="526" t="s">
        <v>79</v>
      </c>
      <c r="B25" s="520" t="s">
        <v>5</v>
      </c>
      <c r="F25" s="101">
        <v>45</v>
      </c>
      <c r="G25" s="101">
        <v>262</v>
      </c>
      <c r="H25" s="141">
        <v>1842</v>
      </c>
      <c r="I25" s="141">
        <v>845.66219999999998</v>
      </c>
      <c r="J25" s="141">
        <v>0</v>
      </c>
      <c r="K25" s="141">
        <f t="shared" si="0"/>
        <v>2687.6621999999998</v>
      </c>
    </row>
    <row r="26" spans="1:11" ht="18" customHeight="1" x14ac:dyDescent="0.2">
      <c r="A26" s="526" t="s">
        <v>80</v>
      </c>
      <c r="B26" s="520" t="s">
        <v>45</v>
      </c>
      <c r="F26" s="101">
        <v>0</v>
      </c>
      <c r="G26" s="101">
        <v>0</v>
      </c>
      <c r="H26" s="141">
        <v>0</v>
      </c>
      <c r="I26" s="141">
        <v>0</v>
      </c>
      <c r="J26" s="141">
        <v>0</v>
      </c>
      <c r="K26" s="141">
        <f t="shared" si="0"/>
        <v>0</v>
      </c>
    </row>
    <row r="27" spans="1:11" ht="18" customHeight="1" x14ac:dyDescent="0.2">
      <c r="A27" s="526" t="s">
        <v>81</v>
      </c>
      <c r="B27" s="520" t="s">
        <v>46</v>
      </c>
      <c r="F27" s="101">
        <v>75</v>
      </c>
      <c r="G27" s="101">
        <v>2190</v>
      </c>
      <c r="H27" s="141">
        <v>2592025</v>
      </c>
      <c r="I27" s="141">
        <v>0</v>
      </c>
      <c r="J27" s="141">
        <v>0</v>
      </c>
      <c r="K27" s="141">
        <f t="shared" si="0"/>
        <v>2592025</v>
      </c>
    </row>
    <row r="28" spans="1:11" ht="18" customHeight="1" x14ac:dyDescent="0.2">
      <c r="A28" s="526" t="s">
        <v>82</v>
      </c>
      <c r="B28" s="520" t="s">
        <v>47</v>
      </c>
      <c r="F28" s="101">
        <v>17684</v>
      </c>
      <c r="G28" s="101">
        <v>3637</v>
      </c>
      <c r="H28" s="141">
        <v>776295.76</v>
      </c>
      <c r="I28" s="141">
        <v>356397.38341600006</v>
      </c>
      <c r="J28" s="141">
        <v>1101715</v>
      </c>
      <c r="K28" s="141">
        <f t="shared" si="0"/>
        <v>30978.143416000064</v>
      </c>
    </row>
    <row r="29" spans="1:11" ht="18" customHeight="1" x14ac:dyDescent="0.2">
      <c r="A29" s="526" t="s">
        <v>83</v>
      </c>
      <c r="B29" s="520" t="s">
        <v>48</v>
      </c>
      <c r="F29" s="101">
        <v>34269</v>
      </c>
      <c r="G29" s="101">
        <v>71192</v>
      </c>
      <c r="H29" s="141">
        <v>8693848.6400000006</v>
      </c>
      <c r="I29" s="141">
        <v>3353682.6384239998</v>
      </c>
      <c r="J29" s="141">
        <v>209552</v>
      </c>
      <c r="K29" s="141">
        <f t="shared" si="0"/>
        <v>11837979.278424</v>
      </c>
    </row>
    <row r="30" spans="1:11" ht="18" customHeight="1" x14ac:dyDescent="0.2">
      <c r="A30" s="526" t="s">
        <v>84</v>
      </c>
      <c r="B30" s="548" t="s">
        <v>306</v>
      </c>
      <c r="C30" s="549"/>
      <c r="D30" s="550"/>
      <c r="F30" s="101">
        <v>25918</v>
      </c>
      <c r="G30" s="101">
        <v>31796</v>
      </c>
      <c r="H30" s="141">
        <v>4037741.17</v>
      </c>
      <c r="I30" s="141">
        <v>1853726.97</v>
      </c>
      <c r="J30" s="141">
        <v>119500</v>
      </c>
      <c r="K30" s="141">
        <f t="shared" si="0"/>
        <v>5771968.1399999997</v>
      </c>
    </row>
    <row r="31" spans="1:11" ht="18" customHeight="1" x14ac:dyDescent="0.2">
      <c r="A31" s="526" t="s">
        <v>133</v>
      </c>
      <c r="B31" s="548"/>
      <c r="C31" s="549"/>
      <c r="D31" s="550"/>
      <c r="F31" s="101">
        <v>0</v>
      </c>
      <c r="G31" s="101">
        <v>0</v>
      </c>
      <c r="H31" s="141">
        <v>0</v>
      </c>
      <c r="I31" s="141">
        <v>0</v>
      </c>
      <c r="J31" s="141">
        <v>0</v>
      </c>
      <c r="K31" s="141">
        <f t="shared" si="0"/>
        <v>0</v>
      </c>
    </row>
    <row r="32" spans="1:11" ht="18" customHeight="1" x14ac:dyDescent="0.2">
      <c r="A32" s="526" t="s">
        <v>134</v>
      </c>
      <c r="B32" s="551"/>
      <c r="C32" s="552"/>
      <c r="D32" s="553"/>
      <c r="F32" s="101">
        <v>0</v>
      </c>
      <c r="G32" s="101">
        <v>0</v>
      </c>
      <c r="H32" s="141">
        <v>0</v>
      </c>
      <c r="I32" s="141">
        <v>0</v>
      </c>
      <c r="J32" s="141">
        <v>0</v>
      </c>
      <c r="K32" s="141">
        <f t="shared" si="0"/>
        <v>0</v>
      </c>
    </row>
    <row r="33" spans="1:11" ht="18" customHeight="1" x14ac:dyDescent="0.2">
      <c r="A33" s="526" t="s">
        <v>135</v>
      </c>
      <c r="B33" s="551"/>
      <c r="C33" s="552"/>
      <c r="D33" s="553"/>
      <c r="F33" s="101">
        <v>0</v>
      </c>
      <c r="G33" s="101">
        <v>0</v>
      </c>
      <c r="H33" s="141">
        <v>0</v>
      </c>
      <c r="I33" s="141">
        <v>0</v>
      </c>
      <c r="J33" s="141">
        <v>0</v>
      </c>
      <c r="K33" s="141">
        <f t="shared" si="0"/>
        <v>0</v>
      </c>
    </row>
    <row r="34" spans="1:11" ht="18" customHeight="1" x14ac:dyDescent="0.2">
      <c r="A34" s="526" t="s">
        <v>136</v>
      </c>
      <c r="B34" s="548"/>
      <c r="C34" s="549"/>
      <c r="D34" s="550"/>
      <c r="F34" s="101">
        <v>0</v>
      </c>
      <c r="G34" s="101">
        <v>0</v>
      </c>
      <c r="H34" s="141">
        <v>0</v>
      </c>
      <c r="I34" s="141">
        <v>0</v>
      </c>
      <c r="J34" s="141">
        <v>0</v>
      </c>
      <c r="K34" s="141">
        <f t="shared" si="0"/>
        <v>0</v>
      </c>
    </row>
    <row r="35" spans="1:11" ht="18" customHeight="1" x14ac:dyDescent="0.2">
      <c r="K35" s="554"/>
    </row>
    <row r="36" spans="1:11" ht="18" customHeight="1" x14ac:dyDescent="0.2">
      <c r="A36" s="546" t="s">
        <v>137</v>
      </c>
      <c r="B36" s="525" t="s">
        <v>138</v>
      </c>
      <c r="E36" s="525" t="s">
        <v>7</v>
      </c>
      <c r="F36" s="101">
        <f t="shared" ref="F36:K36" si="1">SUM(F21:F34)</f>
        <v>90966.7</v>
      </c>
      <c r="G36" s="101">
        <f t="shared" si="1"/>
        <v>630998.34000000008</v>
      </c>
      <c r="H36" s="141">
        <f t="shared" si="1"/>
        <v>16893597.163599998</v>
      </c>
      <c r="I36" s="141">
        <f t="shared" si="1"/>
        <v>5928188.5069617601</v>
      </c>
      <c r="J36" s="141">
        <f t="shared" si="1"/>
        <v>1444767</v>
      </c>
      <c r="K36" s="141">
        <f t="shared" si="1"/>
        <v>21377018.670561761</v>
      </c>
    </row>
    <row r="37" spans="1:11" ht="18" customHeight="1" thickBot="1" x14ac:dyDescent="0.25">
      <c r="B37" s="525"/>
      <c r="F37" s="555"/>
      <c r="G37" s="555"/>
      <c r="H37" s="556"/>
      <c r="I37" s="556"/>
      <c r="J37" s="556"/>
      <c r="K37" s="557"/>
    </row>
    <row r="38" spans="1:11" ht="42.75" customHeight="1" x14ac:dyDescent="0.2">
      <c r="F38" s="545" t="s">
        <v>9</v>
      </c>
      <c r="G38" s="545" t="s">
        <v>37</v>
      </c>
      <c r="H38" s="545" t="s">
        <v>29</v>
      </c>
      <c r="I38" s="545" t="s">
        <v>30</v>
      </c>
      <c r="J38" s="545" t="s">
        <v>33</v>
      </c>
      <c r="K38" s="545" t="s">
        <v>34</v>
      </c>
    </row>
    <row r="39" spans="1:11" ht="18.75" customHeight="1" x14ac:dyDescent="0.2">
      <c r="A39" s="546" t="s">
        <v>86</v>
      </c>
      <c r="B39" s="525" t="s">
        <v>49</v>
      </c>
    </row>
    <row r="40" spans="1:11" ht="18" customHeight="1" x14ac:dyDescent="0.2">
      <c r="A40" s="526" t="s">
        <v>87</v>
      </c>
      <c r="B40" s="520" t="s">
        <v>31</v>
      </c>
      <c r="F40" s="101">
        <v>0</v>
      </c>
      <c r="G40" s="101">
        <v>939.9</v>
      </c>
      <c r="H40" s="141">
        <v>115135000</v>
      </c>
      <c r="I40" s="141">
        <v>52858478.5</v>
      </c>
      <c r="J40" s="141">
        <v>0</v>
      </c>
      <c r="K40" s="141">
        <f t="shared" ref="K40:K47" si="2">(H40+I40)-J40</f>
        <v>167993478.5</v>
      </c>
    </row>
    <row r="41" spans="1:11" ht="18" customHeight="1" x14ac:dyDescent="0.2">
      <c r="A41" s="526" t="s">
        <v>88</v>
      </c>
      <c r="B41" s="558" t="s">
        <v>50</v>
      </c>
      <c r="C41" s="559"/>
      <c r="F41" s="101">
        <v>62084</v>
      </c>
      <c r="G41" s="101">
        <v>415</v>
      </c>
      <c r="H41" s="141">
        <v>3963764.4</v>
      </c>
      <c r="I41" s="141">
        <v>1819764.2360400001</v>
      </c>
      <c r="J41" s="141">
        <v>0</v>
      </c>
      <c r="K41" s="141">
        <f t="shared" si="2"/>
        <v>5783528.6360400002</v>
      </c>
    </row>
    <row r="42" spans="1:11" ht="18" customHeight="1" x14ac:dyDescent="0.2">
      <c r="A42" s="526" t="s">
        <v>89</v>
      </c>
      <c r="B42" s="547" t="s">
        <v>11</v>
      </c>
      <c r="F42" s="101">
        <v>87225</v>
      </c>
      <c r="G42" s="101">
        <v>718</v>
      </c>
      <c r="H42" s="141">
        <v>4299980.72</v>
      </c>
      <c r="I42" s="141">
        <v>1974121.1485520001</v>
      </c>
      <c r="J42" s="141">
        <v>0</v>
      </c>
      <c r="K42" s="141">
        <f t="shared" si="2"/>
        <v>6274101.8685519993</v>
      </c>
    </row>
    <row r="43" spans="1:11" ht="18" customHeight="1" x14ac:dyDescent="0.2">
      <c r="A43" s="526" t="s">
        <v>90</v>
      </c>
      <c r="B43" s="560" t="s">
        <v>10</v>
      </c>
      <c r="C43" s="561"/>
      <c r="D43" s="561"/>
      <c r="F43" s="101">
        <v>8</v>
      </c>
      <c r="G43" s="101">
        <v>1</v>
      </c>
      <c r="H43" s="141">
        <v>2457432.7999999998</v>
      </c>
      <c r="I43" s="141">
        <v>1128207.39848</v>
      </c>
      <c r="J43" s="141">
        <v>0</v>
      </c>
      <c r="K43" s="141">
        <f t="shared" si="2"/>
        <v>3585640.1984799998</v>
      </c>
    </row>
    <row r="44" spans="1:11" ht="18" customHeight="1" x14ac:dyDescent="0.2">
      <c r="A44" s="526" t="s">
        <v>91</v>
      </c>
      <c r="B44" s="548" t="s">
        <v>307</v>
      </c>
      <c r="C44" s="549"/>
      <c r="D44" s="550"/>
      <c r="F44" s="101">
        <v>50596</v>
      </c>
      <c r="G44" s="101">
        <v>999</v>
      </c>
      <c r="H44" s="141">
        <v>2576846.2999999998</v>
      </c>
      <c r="I44" s="141">
        <v>1183030.1363300001</v>
      </c>
      <c r="J44" s="141">
        <v>34988</v>
      </c>
      <c r="K44" s="141">
        <f t="shared" si="2"/>
        <v>3724888.4363299999</v>
      </c>
    </row>
    <row r="45" spans="1:11" ht="18" customHeight="1" x14ac:dyDescent="0.2">
      <c r="A45" s="526" t="s">
        <v>139</v>
      </c>
      <c r="B45" s="548"/>
      <c r="C45" s="549"/>
      <c r="D45" s="550"/>
      <c r="F45" s="101">
        <v>0</v>
      </c>
      <c r="G45" s="101">
        <v>0</v>
      </c>
      <c r="H45" s="141">
        <v>0</v>
      </c>
      <c r="I45" s="141">
        <v>0</v>
      </c>
      <c r="J45" s="141">
        <v>0</v>
      </c>
      <c r="K45" s="141">
        <f t="shared" si="2"/>
        <v>0</v>
      </c>
    </row>
    <row r="46" spans="1:11" ht="18" customHeight="1" x14ac:dyDescent="0.2">
      <c r="A46" s="526" t="s">
        <v>140</v>
      </c>
      <c r="B46" s="548"/>
      <c r="C46" s="549"/>
      <c r="D46" s="550"/>
      <c r="F46" s="101">
        <v>0</v>
      </c>
      <c r="G46" s="101">
        <v>0</v>
      </c>
      <c r="H46" s="141">
        <v>0</v>
      </c>
      <c r="I46" s="141">
        <v>0</v>
      </c>
      <c r="J46" s="141">
        <v>0</v>
      </c>
      <c r="K46" s="141">
        <f t="shared" si="2"/>
        <v>0</v>
      </c>
    </row>
    <row r="47" spans="1:11" ht="18" customHeight="1" x14ac:dyDescent="0.2">
      <c r="A47" s="526" t="s">
        <v>141</v>
      </c>
      <c r="B47" s="548"/>
      <c r="C47" s="549"/>
      <c r="D47" s="550"/>
      <c r="F47" s="101">
        <v>0</v>
      </c>
      <c r="G47" s="101">
        <v>0</v>
      </c>
      <c r="H47" s="141">
        <v>0</v>
      </c>
      <c r="I47" s="141">
        <v>0</v>
      </c>
      <c r="J47" s="141">
        <v>0</v>
      </c>
      <c r="K47" s="141">
        <f t="shared" si="2"/>
        <v>0</v>
      </c>
    </row>
    <row r="49" spans="1:11" ht="18" customHeight="1" x14ac:dyDescent="0.2">
      <c r="A49" s="546" t="s">
        <v>142</v>
      </c>
      <c r="B49" s="525" t="s">
        <v>143</v>
      </c>
      <c r="E49" s="525" t="s">
        <v>7</v>
      </c>
      <c r="F49" s="101">
        <f t="shared" ref="F49:K49" si="3">SUM(F40:F47)</f>
        <v>199913</v>
      </c>
      <c r="G49" s="101">
        <f t="shared" si="3"/>
        <v>3072.9</v>
      </c>
      <c r="H49" s="141">
        <f t="shared" si="3"/>
        <v>128433024.22</v>
      </c>
      <c r="I49" s="141">
        <f t="shared" si="3"/>
        <v>58963601.419402003</v>
      </c>
      <c r="J49" s="141">
        <f t="shared" si="3"/>
        <v>34988</v>
      </c>
      <c r="K49" s="141">
        <f t="shared" si="3"/>
        <v>187361637.639402</v>
      </c>
    </row>
    <row r="50" spans="1:11" ht="18" customHeight="1" thickBot="1" x14ac:dyDescent="0.25">
      <c r="G50" s="562"/>
      <c r="H50" s="562"/>
      <c r="I50" s="562"/>
      <c r="J50" s="562"/>
      <c r="K50" s="562"/>
    </row>
    <row r="51" spans="1:11" ht="42.75" customHeight="1" x14ac:dyDescent="0.2">
      <c r="F51" s="545" t="s">
        <v>9</v>
      </c>
      <c r="G51" s="545" t="s">
        <v>37</v>
      </c>
      <c r="H51" s="545" t="s">
        <v>29</v>
      </c>
      <c r="I51" s="545" t="s">
        <v>30</v>
      </c>
      <c r="J51" s="545" t="s">
        <v>33</v>
      </c>
      <c r="K51" s="545" t="s">
        <v>34</v>
      </c>
    </row>
    <row r="52" spans="1:11" ht="18" customHeight="1" x14ac:dyDescent="0.2">
      <c r="A52" s="546" t="s">
        <v>92</v>
      </c>
      <c r="B52" s="563" t="s">
        <v>38</v>
      </c>
      <c r="C52" s="564"/>
    </row>
    <row r="53" spans="1:11" ht="18" customHeight="1" x14ac:dyDescent="0.2">
      <c r="A53" s="526" t="s">
        <v>51</v>
      </c>
      <c r="B53" s="565" t="s">
        <v>492</v>
      </c>
      <c r="C53" s="566"/>
      <c r="D53" s="567"/>
      <c r="F53" s="101">
        <v>0</v>
      </c>
      <c r="G53" s="101">
        <v>0</v>
      </c>
      <c r="H53" s="141">
        <v>1770835.785912954</v>
      </c>
      <c r="I53" s="141">
        <v>0</v>
      </c>
      <c r="J53" s="141">
        <v>0</v>
      </c>
      <c r="K53" s="141">
        <f t="shared" ref="K53:K62" si="4">(H53+I53)-J53</f>
        <v>1770835.785912954</v>
      </c>
    </row>
    <row r="54" spans="1:11" ht="18" customHeight="1" x14ac:dyDescent="0.2">
      <c r="A54" s="526" t="s">
        <v>93</v>
      </c>
      <c r="B54" s="565" t="s">
        <v>308</v>
      </c>
      <c r="C54" s="566"/>
      <c r="D54" s="567"/>
      <c r="F54" s="101">
        <v>2622</v>
      </c>
      <c r="G54" s="101">
        <v>2192</v>
      </c>
      <c r="H54" s="141">
        <v>216725.24</v>
      </c>
      <c r="I54" s="141">
        <v>33852.482488000001</v>
      </c>
      <c r="J54" s="141">
        <v>137217</v>
      </c>
      <c r="K54" s="141">
        <f t="shared" si="4"/>
        <v>113360.722488</v>
      </c>
    </row>
    <row r="55" spans="1:11" ht="18" customHeight="1" x14ac:dyDescent="0.2">
      <c r="A55" s="526" t="s">
        <v>94</v>
      </c>
      <c r="B55" s="568" t="s">
        <v>309</v>
      </c>
      <c r="C55" s="569"/>
      <c r="D55" s="567"/>
      <c r="F55" s="101">
        <v>8103</v>
      </c>
      <c r="G55" s="101">
        <v>3632</v>
      </c>
      <c r="H55" s="141">
        <v>333074.26</v>
      </c>
      <c r="I55" s="141">
        <v>52026.199412000002</v>
      </c>
      <c r="J55" s="141">
        <v>247905</v>
      </c>
      <c r="K55" s="141">
        <f t="shared" si="4"/>
        <v>137195.45941200003</v>
      </c>
    </row>
    <row r="56" spans="1:11" ht="18" customHeight="1" x14ac:dyDescent="0.2">
      <c r="A56" s="526" t="s">
        <v>95</v>
      </c>
      <c r="B56" s="568" t="s">
        <v>493</v>
      </c>
      <c r="C56" s="569"/>
      <c r="D56" s="567"/>
      <c r="F56" s="101">
        <v>0</v>
      </c>
      <c r="G56" s="101">
        <v>0</v>
      </c>
      <c r="H56" s="141">
        <v>703004.05166773184</v>
      </c>
      <c r="I56" s="141">
        <v>0</v>
      </c>
      <c r="J56" s="141">
        <v>0</v>
      </c>
      <c r="K56" s="141">
        <f t="shared" si="4"/>
        <v>703004.05166773184</v>
      </c>
    </row>
    <row r="57" spans="1:11" ht="18" customHeight="1" x14ac:dyDescent="0.2">
      <c r="A57" s="526" t="s">
        <v>96</v>
      </c>
      <c r="B57" s="568" t="s">
        <v>542</v>
      </c>
      <c r="C57" s="569"/>
      <c r="D57" s="567"/>
      <c r="F57" s="101">
        <v>0</v>
      </c>
      <c r="G57" s="101">
        <v>0</v>
      </c>
      <c r="H57" s="141">
        <v>7488203.9697229173</v>
      </c>
      <c r="I57" s="141">
        <v>0</v>
      </c>
      <c r="J57" s="141">
        <v>0</v>
      </c>
      <c r="K57" s="141">
        <f t="shared" si="4"/>
        <v>7488203.9697229173</v>
      </c>
    </row>
    <row r="58" spans="1:11" ht="18" customHeight="1" x14ac:dyDescent="0.2">
      <c r="A58" s="526" t="s">
        <v>97</v>
      </c>
      <c r="B58" s="570" t="s">
        <v>310</v>
      </c>
      <c r="C58" s="571"/>
      <c r="D58" s="572"/>
      <c r="F58" s="101">
        <v>0</v>
      </c>
      <c r="G58" s="101">
        <v>645</v>
      </c>
      <c r="H58" s="141">
        <v>70102</v>
      </c>
      <c r="I58" s="141">
        <v>10949.9324</v>
      </c>
      <c r="J58" s="141">
        <v>2150</v>
      </c>
      <c r="K58" s="141">
        <f t="shared" si="4"/>
        <v>78901.932400000005</v>
      </c>
    </row>
    <row r="59" spans="1:11" ht="18" customHeight="1" x14ac:dyDescent="0.2">
      <c r="A59" s="526" t="s">
        <v>98</v>
      </c>
      <c r="B59" s="568" t="s">
        <v>311</v>
      </c>
      <c r="C59" s="569"/>
      <c r="D59" s="567"/>
      <c r="F59" s="101">
        <v>0</v>
      </c>
      <c r="G59" s="101">
        <v>329</v>
      </c>
      <c r="H59" s="141">
        <v>78942</v>
      </c>
      <c r="I59" s="141">
        <v>12330.740400000001</v>
      </c>
      <c r="J59" s="141">
        <v>0</v>
      </c>
      <c r="K59" s="141">
        <f t="shared" si="4"/>
        <v>91272.740399999995</v>
      </c>
    </row>
    <row r="60" spans="1:11" ht="18" customHeight="1" x14ac:dyDescent="0.2">
      <c r="A60" s="526" t="s">
        <v>99</v>
      </c>
      <c r="B60" s="570" t="s">
        <v>312</v>
      </c>
      <c r="C60" s="573"/>
      <c r="D60" s="574"/>
      <c r="F60" s="101">
        <v>0</v>
      </c>
      <c r="G60" s="101">
        <v>14098</v>
      </c>
      <c r="H60" s="141">
        <v>691580</v>
      </c>
      <c r="I60" s="141">
        <v>108024.796</v>
      </c>
      <c r="J60" s="141">
        <v>0</v>
      </c>
      <c r="K60" s="141">
        <f t="shared" si="4"/>
        <v>799604.79599999997</v>
      </c>
    </row>
    <row r="61" spans="1:11" ht="18" customHeight="1" x14ac:dyDescent="0.2">
      <c r="A61" s="526" t="s">
        <v>100</v>
      </c>
      <c r="B61" s="568" t="s">
        <v>313</v>
      </c>
      <c r="C61" s="571"/>
      <c r="D61" s="572"/>
      <c r="F61" s="101">
        <v>0</v>
      </c>
      <c r="G61" s="101">
        <v>319</v>
      </c>
      <c r="H61" s="141">
        <v>141</v>
      </c>
      <c r="I61" s="141">
        <v>22.0242</v>
      </c>
      <c r="J61" s="141">
        <v>0</v>
      </c>
      <c r="K61" s="141">
        <f t="shared" si="4"/>
        <v>163.02420000000001</v>
      </c>
    </row>
    <row r="62" spans="1:11" ht="18" customHeight="1" x14ac:dyDescent="0.2">
      <c r="A62" s="526" t="s">
        <v>101</v>
      </c>
      <c r="B62" s="568" t="s">
        <v>314</v>
      </c>
      <c r="C62" s="569"/>
      <c r="D62" s="567"/>
      <c r="F62" s="101">
        <v>2176</v>
      </c>
      <c r="G62" s="101">
        <v>762</v>
      </c>
      <c r="H62" s="141">
        <v>10920885.18</v>
      </c>
      <c r="I62" s="141">
        <v>17464.906316000001</v>
      </c>
      <c r="J62" s="141">
        <v>443041</v>
      </c>
      <c r="K62" s="141">
        <f t="shared" si="4"/>
        <v>10495309.086315999</v>
      </c>
    </row>
    <row r="63" spans="1:11" ht="18" customHeight="1" x14ac:dyDescent="0.2">
      <c r="A63" s="526"/>
      <c r="I63" s="143"/>
    </row>
    <row r="64" spans="1:11" ht="18" customHeight="1" x14ac:dyDescent="0.2">
      <c r="A64" s="526" t="s">
        <v>144</v>
      </c>
      <c r="B64" s="525" t="s">
        <v>145</v>
      </c>
      <c r="E64" s="525" t="s">
        <v>7</v>
      </c>
      <c r="F64" s="101">
        <f t="shared" ref="F64:K64" si="5">SUM(F53:F62)</f>
        <v>12901</v>
      </c>
      <c r="G64" s="101">
        <f t="shared" si="5"/>
        <v>21977</v>
      </c>
      <c r="H64" s="141">
        <f t="shared" si="5"/>
        <v>22273493.487303603</v>
      </c>
      <c r="I64" s="141">
        <f t="shared" si="5"/>
        <v>234671.08121600002</v>
      </c>
      <c r="J64" s="141">
        <f t="shared" si="5"/>
        <v>830313</v>
      </c>
      <c r="K64" s="141">
        <f t="shared" si="5"/>
        <v>21677851.5685196</v>
      </c>
    </row>
    <row r="65" spans="1:11" ht="18" customHeight="1" x14ac:dyDescent="0.2">
      <c r="F65" s="575"/>
      <c r="G65" s="575"/>
      <c r="H65" s="575"/>
      <c r="I65" s="575"/>
      <c r="J65" s="575"/>
      <c r="K65" s="575"/>
    </row>
    <row r="66" spans="1:11" ht="42.75" customHeight="1" x14ac:dyDescent="0.2">
      <c r="F66" s="576" t="s">
        <v>9</v>
      </c>
      <c r="G66" s="576" t="s">
        <v>37</v>
      </c>
      <c r="H66" s="576" t="s">
        <v>29</v>
      </c>
      <c r="I66" s="576" t="s">
        <v>30</v>
      </c>
      <c r="J66" s="576" t="s">
        <v>33</v>
      </c>
      <c r="K66" s="576" t="s">
        <v>34</v>
      </c>
    </row>
    <row r="67" spans="1:11" ht="18" customHeight="1" x14ac:dyDescent="0.2">
      <c r="A67" s="546" t="s">
        <v>102</v>
      </c>
      <c r="B67" s="525" t="s">
        <v>12</v>
      </c>
      <c r="F67" s="577"/>
      <c r="G67" s="577"/>
      <c r="H67" s="577"/>
      <c r="I67" s="146"/>
      <c r="J67" s="577"/>
      <c r="K67" s="146"/>
    </row>
    <row r="68" spans="1:11" ht="18" customHeight="1" x14ac:dyDescent="0.2">
      <c r="A68" s="526" t="s">
        <v>103</v>
      </c>
      <c r="B68" s="520" t="s">
        <v>52</v>
      </c>
      <c r="F68" s="101">
        <v>0</v>
      </c>
      <c r="G68" s="101">
        <v>0</v>
      </c>
      <c r="H68" s="141">
        <v>0</v>
      </c>
      <c r="I68" s="141">
        <v>0</v>
      </c>
      <c r="J68" s="141">
        <v>0</v>
      </c>
      <c r="K68" s="141">
        <f t="shared" ref="K68:K72" si="6">(H68+I68)-J68</f>
        <v>0</v>
      </c>
    </row>
    <row r="69" spans="1:11" ht="18" customHeight="1" x14ac:dyDescent="0.2">
      <c r="A69" s="526" t="s">
        <v>104</v>
      </c>
      <c r="B69" s="547" t="s">
        <v>53</v>
      </c>
      <c r="F69" s="101">
        <v>0</v>
      </c>
      <c r="G69" s="101">
        <v>0</v>
      </c>
      <c r="H69" s="141">
        <v>75000</v>
      </c>
      <c r="I69" s="141">
        <v>0</v>
      </c>
      <c r="J69" s="141">
        <v>0</v>
      </c>
      <c r="K69" s="141">
        <f t="shared" si="6"/>
        <v>75000</v>
      </c>
    </row>
    <row r="70" spans="1:11" ht="18" customHeight="1" x14ac:dyDescent="0.2">
      <c r="A70" s="526" t="s">
        <v>178</v>
      </c>
      <c r="B70" s="578" t="s">
        <v>300</v>
      </c>
      <c r="C70" s="579"/>
      <c r="D70" s="580"/>
      <c r="E70" s="525"/>
      <c r="F70" s="101">
        <v>17958</v>
      </c>
      <c r="G70" s="101">
        <v>0</v>
      </c>
      <c r="H70" s="141">
        <v>934289.74</v>
      </c>
      <c r="I70" s="141">
        <v>0</v>
      </c>
      <c r="J70" s="141">
        <v>0</v>
      </c>
      <c r="K70" s="141">
        <f t="shared" si="6"/>
        <v>934289.74</v>
      </c>
    </row>
    <row r="71" spans="1:11" ht="18" customHeight="1" x14ac:dyDescent="0.2">
      <c r="A71" s="526" t="s">
        <v>179</v>
      </c>
      <c r="B71" s="578"/>
      <c r="C71" s="579"/>
      <c r="D71" s="580"/>
      <c r="E71" s="525"/>
      <c r="F71" s="101">
        <v>0</v>
      </c>
      <c r="G71" s="101">
        <v>0</v>
      </c>
      <c r="H71" s="141">
        <v>0</v>
      </c>
      <c r="I71" s="141">
        <v>0</v>
      </c>
      <c r="J71" s="141">
        <v>0</v>
      </c>
      <c r="K71" s="141">
        <f t="shared" si="6"/>
        <v>0</v>
      </c>
    </row>
    <row r="72" spans="1:11" ht="18" customHeight="1" x14ac:dyDescent="0.2">
      <c r="A72" s="526" t="s">
        <v>180</v>
      </c>
      <c r="B72" s="581"/>
      <c r="C72" s="582"/>
      <c r="D72" s="583"/>
      <c r="E72" s="525"/>
      <c r="F72" s="101">
        <v>0</v>
      </c>
      <c r="G72" s="101">
        <v>0</v>
      </c>
      <c r="H72" s="141">
        <v>0</v>
      </c>
      <c r="I72" s="141">
        <v>0</v>
      </c>
      <c r="J72" s="141">
        <v>0</v>
      </c>
      <c r="K72" s="141">
        <f t="shared" si="6"/>
        <v>0</v>
      </c>
    </row>
    <row r="73" spans="1:11" ht="18" customHeight="1" x14ac:dyDescent="0.2">
      <c r="A73" s="526"/>
      <c r="B73" s="547"/>
      <c r="E73" s="525"/>
      <c r="F73" s="584"/>
      <c r="G73" s="584"/>
      <c r="H73" s="146"/>
      <c r="I73" s="146"/>
      <c r="J73" s="146"/>
      <c r="K73" s="146"/>
    </row>
    <row r="74" spans="1:11" ht="18" customHeight="1" x14ac:dyDescent="0.2">
      <c r="A74" s="546" t="s">
        <v>146</v>
      </c>
      <c r="B74" s="525" t="s">
        <v>147</v>
      </c>
      <c r="E74" s="525" t="s">
        <v>7</v>
      </c>
      <c r="F74" s="142">
        <f t="shared" ref="F74:K74" si="7">SUM(F68:F72)</f>
        <v>17958</v>
      </c>
      <c r="G74" s="142">
        <f t="shared" si="7"/>
        <v>0</v>
      </c>
      <c r="H74" s="141">
        <f t="shared" si="7"/>
        <v>1009289.74</v>
      </c>
      <c r="I74" s="144">
        <f t="shared" si="7"/>
        <v>0</v>
      </c>
      <c r="J74" s="142">
        <f t="shared" si="7"/>
        <v>0</v>
      </c>
      <c r="K74" s="141">
        <f t="shared" si="7"/>
        <v>1009289.74</v>
      </c>
    </row>
    <row r="75" spans="1:11" ht="42.75" customHeight="1" x14ac:dyDescent="0.2">
      <c r="F75" s="545" t="s">
        <v>9</v>
      </c>
      <c r="G75" s="545" t="s">
        <v>37</v>
      </c>
      <c r="H75" s="545" t="s">
        <v>29</v>
      </c>
      <c r="I75" s="545" t="s">
        <v>30</v>
      </c>
      <c r="J75" s="545" t="s">
        <v>33</v>
      </c>
      <c r="K75" s="545" t="s">
        <v>34</v>
      </c>
    </row>
    <row r="76" spans="1:11" ht="18" customHeight="1" x14ac:dyDescent="0.2">
      <c r="A76" s="546" t="s">
        <v>105</v>
      </c>
      <c r="B76" s="525" t="s">
        <v>106</v>
      </c>
    </row>
    <row r="77" spans="1:11" ht="18" customHeight="1" x14ac:dyDescent="0.2">
      <c r="A77" s="526" t="s">
        <v>107</v>
      </c>
      <c r="B77" s="547" t="s">
        <v>54</v>
      </c>
      <c r="F77" s="101">
        <v>29</v>
      </c>
      <c r="G77" s="101">
        <v>2288</v>
      </c>
      <c r="H77" s="141">
        <v>1842623.4</v>
      </c>
      <c r="I77" s="141">
        <v>0</v>
      </c>
      <c r="J77" s="141">
        <v>69596</v>
      </c>
      <c r="K77" s="141">
        <f t="shared" ref="K77:K80" si="8">(H77+I77)-J77</f>
        <v>1773027.4</v>
      </c>
    </row>
    <row r="78" spans="1:11" ht="18" customHeight="1" x14ac:dyDescent="0.2">
      <c r="A78" s="526" t="s">
        <v>108</v>
      </c>
      <c r="B78" s="547" t="s">
        <v>55</v>
      </c>
      <c r="F78" s="101">
        <v>0</v>
      </c>
      <c r="G78" s="101">
        <v>0</v>
      </c>
      <c r="H78" s="141">
        <v>0</v>
      </c>
      <c r="I78" s="141">
        <v>0</v>
      </c>
      <c r="J78" s="141">
        <v>0</v>
      </c>
      <c r="K78" s="141">
        <f t="shared" si="8"/>
        <v>0</v>
      </c>
    </row>
    <row r="79" spans="1:11" ht="18" customHeight="1" x14ac:dyDescent="0.2">
      <c r="A79" s="526" t="s">
        <v>109</v>
      </c>
      <c r="B79" s="547" t="s">
        <v>13</v>
      </c>
      <c r="F79" s="101">
        <v>2118</v>
      </c>
      <c r="G79" s="101">
        <v>2792</v>
      </c>
      <c r="H79" s="141">
        <v>321990.42</v>
      </c>
      <c r="I79" s="141">
        <v>0</v>
      </c>
      <c r="J79" s="141">
        <v>150</v>
      </c>
      <c r="K79" s="141">
        <f t="shared" si="8"/>
        <v>321840.42</v>
      </c>
    </row>
    <row r="80" spans="1:11" ht="18" customHeight="1" x14ac:dyDescent="0.2">
      <c r="A80" s="526" t="s">
        <v>110</v>
      </c>
      <c r="B80" s="547" t="s">
        <v>56</v>
      </c>
      <c r="F80" s="101">
        <v>36</v>
      </c>
      <c r="G80" s="101">
        <v>4</v>
      </c>
      <c r="H80" s="141">
        <v>1961.76</v>
      </c>
      <c r="I80" s="141">
        <v>900.64401600000008</v>
      </c>
      <c r="J80" s="141">
        <v>0</v>
      </c>
      <c r="K80" s="141">
        <f t="shared" si="8"/>
        <v>2862.404016</v>
      </c>
    </row>
    <row r="81" spans="1:11" ht="18" customHeight="1" x14ac:dyDescent="0.2">
      <c r="A81" s="526"/>
      <c r="K81" s="585"/>
    </row>
    <row r="82" spans="1:11" ht="18" customHeight="1" x14ac:dyDescent="0.2">
      <c r="A82" s="526" t="s">
        <v>148</v>
      </c>
      <c r="B82" s="525" t="s">
        <v>149</v>
      </c>
      <c r="E82" s="525" t="s">
        <v>7</v>
      </c>
      <c r="F82" s="101">
        <f t="shared" ref="F82:K82" si="9">SUM(F77:F80)</f>
        <v>2183</v>
      </c>
      <c r="G82" s="101">
        <f t="shared" si="9"/>
        <v>5084</v>
      </c>
      <c r="H82" s="141">
        <f t="shared" si="9"/>
        <v>2166575.5799999996</v>
      </c>
      <c r="I82" s="141">
        <f t="shared" si="9"/>
        <v>900.64401600000008</v>
      </c>
      <c r="J82" s="141">
        <f t="shared" si="9"/>
        <v>69746</v>
      </c>
      <c r="K82" s="141">
        <f t="shared" si="9"/>
        <v>2097730.2240160001</v>
      </c>
    </row>
    <row r="83" spans="1:11" ht="18" customHeight="1" thickBot="1" x14ac:dyDescent="0.25">
      <c r="A83" s="526"/>
      <c r="F83" s="562"/>
      <c r="G83" s="562"/>
      <c r="H83" s="562"/>
      <c r="I83" s="562"/>
      <c r="J83" s="562"/>
      <c r="K83" s="562"/>
    </row>
    <row r="84" spans="1:11" ht="42.75" customHeight="1" x14ac:dyDescent="0.2">
      <c r="F84" s="545" t="s">
        <v>9</v>
      </c>
      <c r="G84" s="545" t="s">
        <v>37</v>
      </c>
      <c r="H84" s="545" t="s">
        <v>29</v>
      </c>
      <c r="I84" s="545" t="s">
        <v>30</v>
      </c>
      <c r="J84" s="545" t="s">
        <v>33</v>
      </c>
      <c r="K84" s="545" t="s">
        <v>34</v>
      </c>
    </row>
    <row r="85" spans="1:11" ht="18" customHeight="1" x14ac:dyDescent="0.2">
      <c r="A85" s="546" t="s">
        <v>111</v>
      </c>
      <c r="B85" s="525" t="s">
        <v>57</v>
      </c>
    </row>
    <row r="86" spans="1:11" ht="18" customHeight="1" x14ac:dyDescent="0.2">
      <c r="A86" s="526" t="s">
        <v>112</v>
      </c>
      <c r="B86" s="547" t="s">
        <v>113</v>
      </c>
      <c r="F86" s="101">
        <v>158</v>
      </c>
      <c r="G86" s="101">
        <v>52</v>
      </c>
      <c r="H86" s="141">
        <v>6047.42</v>
      </c>
      <c r="I86" s="141">
        <v>2776.3705220000002</v>
      </c>
      <c r="J86" s="141">
        <v>0</v>
      </c>
      <c r="K86" s="141">
        <f t="shared" ref="K86:K96" si="10">(H86+I86)-J86</f>
        <v>8823.7905219999993</v>
      </c>
    </row>
    <row r="87" spans="1:11" ht="18" customHeight="1" x14ac:dyDescent="0.2">
      <c r="A87" s="526" t="s">
        <v>114</v>
      </c>
      <c r="B87" s="547" t="s">
        <v>14</v>
      </c>
      <c r="F87" s="101">
        <v>2538</v>
      </c>
      <c r="G87" s="101">
        <v>1</v>
      </c>
      <c r="H87" s="141">
        <v>227779.91999999998</v>
      </c>
      <c r="I87" s="141">
        <v>104573.76127200002</v>
      </c>
      <c r="J87" s="141">
        <v>0</v>
      </c>
      <c r="K87" s="141">
        <f t="shared" si="10"/>
        <v>332353.68127200002</v>
      </c>
    </row>
    <row r="88" spans="1:11" ht="18" customHeight="1" x14ac:dyDescent="0.2">
      <c r="A88" s="526" t="s">
        <v>115</v>
      </c>
      <c r="B88" s="547" t="s">
        <v>116</v>
      </c>
      <c r="F88" s="101">
        <v>48571</v>
      </c>
      <c r="G88" s="101">
        <v>2686</v>
      </c>
      <c r="H88" s="141">
        <v>1164120.8999999999</v>
      </c>
      <c r="I88" s="141">
        <v>534447.90518999984</v>
      </c>
      <c r="J88" s="141">
        <v>1950</v>
      </c>
      <c r="K88" s="141">
        <f t="shared" si="10"/>
        <v>1696618.8051899998</v>
      </c>
    </row>
    <row r="89" spans="1:11" ht="18" customHeight="1" x14ac:dyDescent="0.2">
      <c r="A89" s="526" t="s">
        <v>117</v>
      </c>
      <c r="B89" s="547" t="s">
        <v>58</v>
      </c>
      <c r="F89" s="101">
        <v>11522</v>
      </c>
      <c r="G89" s="101">
        <v>3201</v>
      </c>
      <c r="H89" s="141">
        <v>404284.44</v>
      </c>
      <c r="I89" s="141">
        <v>185606.98640400002</v>
      </c>
      <c r="J89" s="141">
        <v>29000</v>
      </c>
      <c r="K89" s="141">
        <f t="shared" si="10"/>
        <v>560891.42640400003</v>
      </c>
    </row>
    <row r="90" spans="1:11" ht="18" customHeight="1" x14ac:dyDescent="0.2">
      <c r="A90" s="526" t="s">
        <v>118</v>
      </c>
      <c r="B90" s="558" t="s">
        <v>59</v>
      </c>
      <c r="C90" s="559"/>
      <c r="F90" s="101">
        <v>76</v>
      </c>
      <c r="G90" s="101">
        <v>114</v>
      </c>
      <c r="H90" s="141">
        <v>4985.28</v>
      </c>
      <c r="I90" s="141">
        <v>2288.7420480000001</v>
      </c>
      <c r="J90" s="141">
        <v>0</v>
      </c>
      <c r="K90" s="141">
        <f t="shared" si="10"/>
        <v>7274.0220479999998</v>
      </c>
    </row>
    <row r="91" spans="1:11" ht="18" customHeight="1" x14ac:dyDescent="0.2">
      <c r="A91" s="526" t="s">
        <v>119</v>
      </c>
      <c r="B91" s="547" t="s">
        <v>60</v>
      </c>
      <c r="F91" s="101">
        <v>3639</v>
      </c>
      <c r="G91" s="101">
        <v>0</v>
      </c>
      <c r="H91" s="141">
        <v>297506.8</v>
      </c>
      <c r="I91" s="141">
        <v>136585.37187999999</v>
      </c>
      <c r="J91" s="141">
        <v>0</v>
      </c>
      <c r="K91" s="141">
        <f t="shared" si="10"/>
        <v>434092.17187999998</v>
      </c>
    </row>
    <row r="92" spans="1:11" ht="18" customHeight="1" x14ac:dyDescent="0.2">
      <c r="A92" s="526" t="s">
        <v>120</v>
      </c>
      <c r="B92" s="547" t="s">
        <v>121</v>
      </c>
      <c r="F92" s="101">
        <v>5150.5</v>
      </c>
      <c r="G92" s="101">
        <v>190</v>
      </c>
      <c r="H92" s="141">
        <v>459175.44</v>
      </c>
      <c r="I92" s="141">
        <v>210807.44450399998</v>
      </c>
      <c r="J92" s="141">
        <v>0</v>
      </c>
      <c r="K92" s="141">
        <f t="shared" si="10"/>
        <v>669982.88450399996</v>
      </c>
    </row>
    <row r="93" spans="1:11" ht="18" customHeight="1" x14ac:dyDescent="0.2">
      <c r="A93" s="526" t="s">
        <v>122</v>
      </c>
      <c r="B93" s="547" t="s">
        <v>123</v>
      </c>
      <c r="F93" s="101">
        <v>7408</v>
      </c>
      <c r="G93" s="101">
        <v>85302</v>
      </c>
      <c r="H93" s="141">
        <v>355948.54</v>
      </c>
      <c r="I93" s="141">
        <v>163415.97471399998</v>
      </c>
      <c r="J93" s="141">
        <v>41000</v>
      </c>
      <c r="K93" s="141">
        <f t="shared" si="10"/>
        <v>478364.51471399993</v>
      </c>
    </row>
    <row r="94" spans="1:11" ht="18" customHeight="1" x14ac:dyDescent="0.2">
      <c r="A94" s="526" t="s">
        <v>124</v>
      </c>
      <c r="B94" s="568" t="s">
        <v>315</v>
      </c>
      <c r="C94" s="569"/>
      <c r="D94" s="567"/>
      <c r="F94" s="101">
        <v>643</v>
      </c>
      <c r="G94" s="101">
        <v>11451</v>
      </c>
      <c r="H94" s="141">
        <v>144068.28</v>
      </c>
      <c r="I94" s="141">
        <v>66141.74734799999</v>
      </c>
      <c r="J94" s="141">
        <v>12878</v>
      </c>
      <c r="K94" s="141">
        <f t="shared" si="10"/>
        <v>197332.02734799997</v>
      </c>
    </row>
    <row r="95" spans="1:11" ht="18" customHeight="1" x14ac:dyDescent="0.2">
      <c r="A95" s="526" t="s">
        <v>125</v>
      </c>
      <c r="B95" s="568"/>
      <c r="C95" s="569"/>
      <c r="D95" s="567"/>
      <c r="F95" s="101">
        <v>0</v>
      </c>
      <c r="G95" s="101">
        <v>0</v>
      </c>
      <c r="H95" s="141">
        <v>0</v>
      </c>
      <c r="I95" s="141">
        <v>0</v>
      </c>
      <c r="J95" s="141">
        <v>0</v>
      </c>
      <c r="K95" s="141">
        <f t="shared" si="10"/>
        <v>0</v>
      </c>
    </row>
    <row r="96" spans="1:11" ht="18" customHeight="1" x14ac:dyDescent="0.2">
      <c r="A96" s="526" t="s">
        <v>126</v>
      </c>
      <c r="B96" s="568"/>
      <c r="C96" s="569"/>
      <c r="D96" s="567"/>
      <c r="F96" s="101">
        <v>0</v>
      </c>
      <c r="G96" s="101">
        <v>0</v>
      </c>
      <c r="H96" s="141">
        <v>0</v>
      </c>
      <c r="I96" s="141">
        <v>0</v>
      </c>
      <c r="J96" s="141">
        <v>0</v>
      </c>
      <c r="K96" s="141">
        <f t="shared" si="10"/>
        <v>0</v>
      </c>
    </row>
    <row r="97" spans="1:11" ht="18" customHeight="1" x14ac:dyDescent="0.2">
      <c r="A97" s="526"/>
      <c r="B97" s="547"/>
    </row>
    <row r="98" spans="1:11" ht="18" customHeight="1" x14ac:dyDescent="0.2">
      <c r="A98" s="546" t="s">
        <v>150</v>
      </c>
      <c r="B98" s="525" t="s">
        <v>151</v>
      </c>
      <c r="E98" s="525" t="s">
        <v>7</v>
      </c>
      <c r="F98" s="101">
        <f t="shared" ref="F98:K98" si="11">SUM(F86:F96)</f>
        <v>79705.5</v>
      </c>
      <c r="G98" s="101">
        <f t="shared" si="11"/>
        <v>102997</v>
      </c>
      <c r="H98" s="141">
        <f t="shared" si="11"/>
        <v>3063917.0199999996</v>
      </c>
      <c r="I98" s="141">
        <f t="shared" si="11"/>
        <v>1406644.303882</v>
      </c>
      <c r="J98" s="141">
        <f t="shared" si="11"/>
        <v>84828</v>
      </c>
      <c r="K98" s="141">
        <f t="shared" si="11"/>
        <v>4385733.3238819987</v>
      </c>
    </row>
    <row r="99" spans="1:11" ht="18" customHeight="1" thickBot="1" x14ac:dyDescent="0.25">
      <c r="B99" s="525"/>
      <c r="F99" s="562"/>
      <c r="G99" s="562"/>
      <c r="H99" s="562"/>
      <c r="I99" s="562"/>
      <c r="J99" s="562"/>
      <c r="K99" s="562"/>
    </row>
    <row r="100" spans="1:11" ht="42.75" customHeight="1" x14ac:dyDescent="0.2">
      <c r="F100" s="545" t="s">
        <v>9</v>
      </c>
      <c r="G100" s="545" t="s">
        <v>37</v>
      </c>
      <c r="H100" s="545" t="s">
        <v>29</v>
      </c>
      <c r="I100" s="545" t="s">
        <v>30</v>
      </c>
      <c r="J100" s="545" t="s">
        <v>33</v>
      </c>
      <c r="K100" s="545" t="s">
        <v>34</v>
      </c>
    </row>
    <row r="101" spans="1:11" ht="18" customHeight="1" x14ac:dyDescent="0.2">
      <c r="A101" s="546" t="s">
        <v>130</v>
      </c>
      <c r="B101" s="525" t="s">
        <v>63</v>
      </c>
    </row>
    <row r="102" spans="1:11" ht="18" customHeight="1" x14ac:dyDescent="0.2">
      <c r="A102" s="526" t="s">
        <v>131</v>
      </c>
      <c r="B102" s="547" t="s">
        <v>152</v>
      </c>
      <c r="F102" s="101">
        <v>5905.5</v>
      </c>
      <c r="G102" s="101">
        <v>0</v>
      </c>
      <c r="H102" s="141">
        <v>398050.54000000004</v>
      </c>
      <c r="I102" s="141">
        <v>182745.00291400001</v>
      </c>
      <c r="J102" s="141">
        <v>0</v>
      </c>
      <c r="K102" s="141">
        <f t="shared" ref="K102:K106" si="12">(H102+I102)-J102</f>
        <v>580795.54291400011</v>
      </c>
    </row>
    <row r="103" spans="1:11" ht="18" customHeight="1" x14ac:dyDescent="0.2">
      <c r="A103" s="526" t="s">
        <v>132</v>
      </c>
      <c r="B103" s="558" t="s">
        <v>62</v>
      </c>
      <c r="C103" s="558"/>
      <c r="F103" s="101">
        <v>1173</v>
      </c>
      <c r="G103" s="101">
        <v>0</v>
      </c>
      <c r="H103" s="141">
        <v>91175.46</v>
      </c>
      <c r="I103" s="141">
        <v>41858.653686000005</v>
      </c>
      <c r="J103" s="141">
        <v>0</v>
      </c>
      <c r="K103" s="141">
        <f t="shared" si="12"/>
        <v>133034.113686</v>
      </c>
    </row>
    <row r="104" spans="1:11" ht="18" customHeight="1" x14ac:dyDescent="0.2">
      <c r="A104" s="526" t="s">
        <v>128</v>
      </c>
      <c r="B104" s="568" t="s">
        <v>316</v>
      </c>
      <c r="C104" s="569"/>
      <c r="D104" s="567"/>
      <c r="F104" s="101">
        <v>0</v>
      </c>
      <c r="G104" s="101">
        <v>0</v>
      </c>
      <c r="H104" s="141">
        <v>38135</v>
      </c>
      <c r="I104" s="141">
        <v>17507.7785</v>
      </c>
      <c r="J104" s="141">
        <v>0</v>
      </c>
      <c r="K104" s="141">
        <f t="shared" si="12"/>
        <v>55642.7785</v>
      </c>
    </row>
    <row r="105" spans="1:11" ht="18" customHeight="1" x14ac:dyDescent="0.2">
      <c r="A105" s="526" t="s">
        <v>127</v>
      </c>
      <c r="B105" s="568"/>
      <c r="C105" s="569"/>
      <c r="D105" s="567"/>
      <c r="F105" s="101">
        <v>0</v>
      </c>
      <c r="G105" s="101">
        <v>0</v>
      </c>
      <c r="H105" s="141">
        <v>0</v>
      </c>
      <c r="I105" s="141">
        <v>0</v>
      </c>
      <c r="J105" s="141">
        <v>0</v>
      </c>
      <c r="K105" s="141">
        <f t="shared" si="12"/>
        <v>0</v>
      </c>
    </row>
    <row r="106" spans="1:11" ht="18" customHeight="1" x14ac:dyDescent="0.2">
      <c r="A106" s="526" t="s">
        <v>129</v>
      </c>
      <c r="B106" s="568"/>
      <c r="C106" s="569"/>
      <c r="D106" s="567"/>
      <c r="F106" s="101">
        <v>0</v>
      </c>
      <c r="G106" s="101">
        <v>0</v>
      </c>
      <c r="H106" s="141">
        <v>0</v>
      </c>
      <c r="I106" s="141">
        <v>0</v>
      </c>
      <c r="J106" s="141">
        <v>0</v>
      </c>
      <c r="K106" s="141">
        <f t="shared" si="12"/>
        <v>0</v>
      </c>
    </row>
    <row r="107" spans="1:11" ht="18" customHeight="1" x14ac:dyDescent="0.2">
      <c r="B107" s="525"/>
    </row>
    <row r="108" spans="1:11" s="561" customFormat="1" ht="18" customHeight="1" x14ac:dyDescent="0.2">
      <c r="A108" s="546" t="s">
        <v>153</v>
      </c>
      <c r="B108" s="586" t="s">
        <v>154</v>
      </c>
      <c r="C108" s="520"/>
      <c r="D108" s="520"/>
      <c r="E108" s="525" t="s">
        <v>7</v>
      </c>
      <c r="F108" s="101">
        <f t="shared" ref="F108:K108" si="13">SUM(F102:F106)</f>
        <v>7078.5</v>
      </c>
      <c r="G108" s="101">
        <f t="shared" si="13"/>
        <v>0</v>
      </c>
      <c r="H108" s="141">
        <f t="shared" si="13"/>
        <v>527361</v>
      </c>
      <c r="I108" s="141">
        <f t="shared" si="13"/>
        <v>242111.4351</v>
      </c>
      <c r="J108" s="141">
        <f t="shared" si="13"/>
        <v>0</v>
      </c>
      <c r="K108" s="141">
        <f t="shared" si="13"/>
        <v>769472.43510000012</v>
      </c>
    </row>
    <row r="109" spans="1:11" s="561" customFormat="1" ht="18" customHeight="1" thickBot="1" x14ac:dyDescent="0.25">
      <c r="A109" s="587"/>
      <c r="B109" s="588"/>
      <c r="C109" s="589"/>
      <c r="D109" s="589"/>
      <c r="E109" s="589"/>
      <c r="F109" s="562"/>
      <c r="G109" s="562"/>
      <c r="H109" s="562"/>
      <c r="I109" s="562"/>
      <c r="J109" s="562"/>
      <c r="K109" s="562"/>
    </row>
    <row r="110" spans="1:11" s="561" customFormat="1" ht="18" customHeight="1" x14ac:dyDescent="0.2">
      <c r="A110" s="546" t="s">
        <v>156</v>
      </c>
      <c r="B110" s="525" t="s">
        <v>39</v>
      </c>
      <c r="C110" s="520"/>
      <c r="D110" s="520"/>
      <c r="E110" s="520"/>
      <c r="F110" s="520"/>
      <c r="G110" s="520"/>
      <c r="H110" s="520"/>
      <c r="I110" s="520"/>
      <c r="J110" s="520"/>
      <c r="K110" s="520"/>
    </row>
    <row r="111" spans="1:11" ht="18" customHeight="1" x14ac:dyDescent="0.2">
      <c r="A111" s="546" t="s">
        <v>155</v>
      </c>
      <c r="B111" s="525" t="s">
        <v>164</v>
      </c>
      <c r="E111" s="525" t="s">
        <v>7</v>
      </c>
      <c r="F111" s="141">
        <v>26475000</v>
      </c>
    </row>
    <row r="112" spans="1:11" ht="18" customHeight="1" x14ac:dyDescent="0.2">
      <c r="B112" s="525"/>
      <c r="E112" s="525"/>
      <c r="F112" s="590"/>
    </row>
    <row r="113" spans="1:6" ht="18" customHeight="1" x14ac:dyDescent="0.2">
      <c r="A113" s="546"/>
      <c r="B113" s="525" t="s">
        <v>15</v>
      </c>
    </row>
    <row r="114" spans="1:6" ht="18" customHeight="1" x14ac:dyDescent="0.2">
      <c r="A114" s="526" t="s">
        <v>171</v>
      </c>
      <c r="B114" s="547" t="s">
        <v>35</v>
      </c>
      <c r="F114" s="591">
        <v>0.45910000000000001</v>
      </c>
    </row>
    <row r="115" spans="1:6" ht="18" customHeight="1" x14ac:dyDescent="0.2">
      <c r="A115" s="526"/>
      <c r="B115" s="525"/>
    </row>
    <row r="116" spans="1:6" ht="18" customHeight="1" x14ac:dyDescent="0.2">
      <c r="A116" s="526" t="s">
        <v>170</v>
      </c>
      <c r="B116" s="525" t="s">
        <v>16</v>
      </c>
    </row>
    <row r="117" spans="1:6" ht="18" customHeight="1" x14ac:dyDescent="0.2">
      <c r="A117" s="526" t="s">
        <v>172</v>
      </c>
      <c r="B117" s="547" t="s">
        <v>17</v>
      </c>
      <c r="F117" s="145">
        <v>2041319000</v>
      </c>
    </row>
    <row r="118" spans="1:6" ht="18" customHeight="1" x14ac:dyDescent="0.2">
      <c r="A118" s="526" t="s">
        <v>173</v>
      </c>
      <c r="B118" s="520" t="s">
        <v>18</v>
      </c>
      <c r="F118" s="145">
        <v>381504000</v>
      </c>
    </row>
    <row r="119" spans="1:6" ht="18" customHeight="1" x14ac:dyDescent="0.2">
      <c r="A119" s="526" t="s">
        <v>174</v>
      </c>
      <c r="B119" s="525" t="s">
        <v>19</v>
      </c>
      <c r="F119" s="141">
        <v>2422823000</v>
      </c>
    </row>
    <row r="120" spans="1:6" ht="18" customHeight="1" x14ac:dyDescent="0.2">
      <c r="A120" s="526"/>
      <c r="B120" s="525"/>
    </row>
    <row r="121" spans="1:6" ht="18" customHeight="1" x14ac:dyDescent="0.2">
      <c r="A121" s="526" t="s">
        <v>167</v>
      </c>
      <c r="B121" s="525" t="s">
        <v>36</v>
      </c>
      <c r="F121" s="145">
        <v>2396322000</v>
      </c>
    </row>
    <row r="122" spans="1:6" ht="18" customHeight="1" x14ac:dyDescent="0.2">
      <c r="A122" s="526"/>
    </row>
    <row r="123" spans="1:6" ht="18" customHeight="1" x14ac:dyDescent="0.2">
      <c r="A123" s="526" t="s">
        <v>175</v>
      </c>
      <c r="B123" s="525" t="s">
        <v>20</v>
      </c>
      <c r="F123" s="141">
        <v>26501000</v>
      </c>
    </row>
    <row r="124" spans="1:6" ht="18" customHeight="1" x14ac:dyDescent="0.2">
      <c r="A124" s="526"/>
    </row>
    <row r="125" spans="1:6" ht="18" customHeight="1" x14ac:dyDescent="0.2">
      <c r="A125" s="526" t="s">
        <v>176</v>
      </c>
      <c r="B125" s="525" t="s">
        <v>21</v>
      </c>
      <c r="F125" s="592">
        <v>58939000</v>
      </c>
    </row>
    <row r="126" spans="1:6" ht="18" customHeight="1" x14ac:dyDescent="0.2">
      <c r="A126" s="526"/>
    </row>
    <row r="127" spans="1:6" ht="18" customHeight="1" x14ac:dyDescent="0.2">
      <c r="A127" s="526" t="s">
        <v>177</v>
      </c>
      <c r="B127" s="525" t="s">
        <v>22</v>
      </c>
      <c r="F127" s="141">
        <v>85440000</v>
      </c>
    </row>
    <row r="128" spans="1:6" ht="18" customHeight="1" x14ac:dyDescent="0.2">
      <c r="A128" s="526"/>
    </row>
    <row r="129" spans="1:11" ht="42.75" customHeight="1" x14ac:dyDescent="0.2">
      <c r="F129" s="545" t="s">
        <v>9</v>
      </c>
      <c r="G129" s="545" t="s">
        <v>37</v>
      </c>
      <c r="H129" s="545" t="s">
        <v>29</v>
      </c>
      <c r="I129" s="545" t="s">
        <v>30</v>
      </c>
      <c r="J129" s="545" t="s">
        <v>33</v>
      </c>
      <c r="K129" s="545" t="s">
        <v>34</v>
      </c>
    </row>
    <row r="130" spans="1:11" ht="18" customHeight="1" x14ac:dyDescent="0.2">
      <c r="A130" s="546" t="s">
        <v>157</v>
      </c>
      <c r="B130" s="525" t="s">
        <v>23</v>
      </c>
    </row>
    <row r="131" spans="1:11" ht="18" customHeight="1" x14ac:dyDescent="0.2">
      <c r="A131" s="526" t="s">
        <v>158</v>
      </c>
      <c r="B131" s="520" t="s">
        <v>24</v>
      </c>
      <c r="F131" s="101">
        <v>0</v>
      </c>
      <c r="G131" s="101">
        <v>0</v>
      </c>
      <c r="H131" s="141">
        <v>0</v>
      </c>
      <c r="I131" s="141">
        <v>0</v>
      </c>
      <c r="J131" s="141">
        <v>0</v>
      </c>
      <c r="K131" s="141">
        <v>0</v>
      </c>
    </row>
    <row r="132" spans="1:11" ht="18" customHeight="1" x14ac:dyDescent="0.2">
      <c r="A132" s="526" t="s">
        <v>159</v>
      </c>
      <c r="B132" s="520" t="s">
        <v>25</v>
      </c>
      <c r="F132" s="101">
        <v>0</v>
      </c>
      <c r="G132" s="101">
        <v>0</v>
      </c>
      <c r="H132" s="141">
        <v>0</v>
      </c>
      <c r="I132" s="141">
        <v>0</v>
      </c>
      <c r="J132" s="141">
        <v>0</v>
      </c>
      <c r="K132" s="141">
        <v>0</v>
      </c>
    </row>
    <row r="133" spans="1:11" ht="18" customHeight="1" x14ac:dyDescent="0.2">
      <c r="A133" s="526" t="s">
        <v>160</v>
      </c>
      <c r="B133" s="548"/>
      <c r="C133" s="549"/>
      <c r="D133" s="550"/>
      <c r="F133" s="101">
        <v>0</v>
      </c>
      <c r="G133" s="101">
        <v>0</v>
      </c>
      <c r="H133" s="141">
        <v>0</v>
      </c>
      <c r="I133" s="141">
        <v>0</v>
      </c>
      <c r="J133" s="141">
        <v>0</v>
      </c>
      <c r="K133" s="141">
        <v>0</v>
      </c>
    </row>
    <row r="134" spans="1:11" ht="18" customHeight="1" x14ac:dyDescent="0.2">
      <c r="A134" s="526" t="s">
        <v>161</v>
      </c>
      <c r="B134" s="548"/>
      <c r="C134" s="549"/>
      <c r="D134" s="550"/>
      <c r="F134" s="101">
        <v>0</v>
      </c>
      <c r="G134" s="101">
        <v>0</v>
      </c>
      <c r="H134" s="141">
        <v>0</v>
      </c>
      <c r="I134" s="141">
        <v>0</v>
      </c>
      <c r="J134" s="141">
        <v>0</v>
      </c>
      <c r="K134" s="141">
        <v>0</v>
      </c>
    </row>
    <row r="135" spans="1:11" ht="18" customHeight="1" x14ac:dyDescent="0.2">
      <c r="A135" s="526" t="s">
        <v>162</v>
      </c>
      <c r="B135" s="548"/>
      <c r="C135" s="549"/>
      <c r="D135" s="550"/>
      <c r="F135" s="101">
        <v>0</v>
      </c>
      <c r="G135" s="101">
        <v>0</v>
      </c>
      <c r="H135" s="141">
        <v>0</v>
      </c>
      <c r="I135" s="141">
        <v>0</v>
      </c>
      <c r="J135" s="141">
        <v>0</v>
      </c>
      <c r="K135" s="141">
        <v>0</v>
      </c>
    </row>
    <row r="136" spans="1:11" ht="18" customHeight="1" x14ac:dyDescent="0.2">
      <c r="A136" s="546"/>
    </row>
    <row r="137" spans="1:11" ht="18" customHeight="1" x14ac:dyDescent="0.2">
      <c r="A137" s="546" t="s">
        <v>163</v>
      </c>
      <c r="B137" s="525" t="s">
        <v>27</v>
      </c>
      <c r="F137" s="101">
        <v>0</v>
      </c>
      <c r="G137" s="101">
        <v>0</v>
      </c>
      <c r="H137" s="141">
        <v>0</v>
      </c>
      <c r="I137" s="141">
        <v>0</v>
      </c>
      <c r="J137" s="141">
        <v>0</v>
      </c>
      <c r="K137" s="141">
        <v>0</v>
      </c>
    </row>
    <row r="138" spans="1:11" ht="18" customHeight="1" x14ac:dyDescent="0.2">
      <c r="A138" s="520"/>
    </row>
    <row r="139" spans="1:11" ht="42.75" customHeight="1" x14ac:dyDescent="0.2">
      <c r="F139" s="545" t="s">
        <v>9</v>
      </c>
      <c r="G139" s="545" t="s">
        <v>37</v>
      </c>
      <c r="H139" s="545" t="s">
        <v>29</v>
      </c>
      <c r="I139" s="545" t="s">
        <v>30</v>
      </c>
      <c r="J139" s="545" t="s">
        <v>33</v>
      </c>
      <c r="K139" s="545" t="s">
        <v>34</v>
      </c>
    </row>
    <row r="140" spans="1:11" ht="18" customHeight="1" x14ac:dyDescent="0.2">
      <c r="A140" s="546" t="s">
        <v>166</v>
      </c>
      <c r="B140" s="525" t="s">
        <v>26</v>
      </c>
    </row>
    <row r="141" spans="1:11" ht="18" customHeight="1" x14ac:dyDescent="0.2">
      <c r="A141" s="526" t="s">
        <v>137</v>
      </c>
      <c r="B141" s="525" t="s">
        <v>64</v>
      </c>
      <c r="F141" s="593">
        <f t="shared" ref="F141:K141" si="14">F36</f>
        <v>90966.7</v>
      </c>
      <c r="G141" s="593">
        <f t="shared" si="14"/>
        <v>630998.34000000008</v>
      </c>
      <c r="H141" s="593">
        <f t="shared" si="14"/>
        <v>16893597.163599998</v>
      </c>
      <c r="I141" s="593">
        <f t="shared" si="14"/>
        <v>5928188.5069617601</v>
      </c>
      <c r="J141" s="593">
        <f t="shared" si="14"/>
        <v>1444767</v>
      </c>
      <c r="K141" s="593">
        <f t="shared" si="14"/>
        <v>21377018.670561761</v>
      </c>
    </row>
    <row r="142" spans="1:11" ht="18" customHeight="1" x14ac:dyDescent="0.2">
      <c r="A142" s="526" t="s">
        <v>142</v>
      </c>
      <c r="B142" s="525" t="s">
        <v>65</v>
      </c>
      <c r="F142" s="593">
        <f t="shared" ref="F142:K142" si="15">F49</f>
        <v>199913</v>
      </c>
      <c r="G142" s="593">
        <f t="shared" si="15"/>
        <v>3072.9</v>
      </c>
      <c r="H142" s="593">
        <f t="shared" si="15"/>
        <v>128433024.22</v>
      </c>
      <c r="I142" s="593">
        <f t="shared" si="15"/>
        <v>58963601.419402003</v>
      </c>
      <c r="J142" s="593">
        <f t="shared" si="15"/>
        <v>34988</v>
      </c>
      <c r="K142" s="593">
        <f t="shared" si="15"/>
        <v>187361637.639402</v>
      </c>
    </row>
    <row r="143" spans="1:11" ht="18" customHeight="1" x14ac:dyDescent="0.2">
      <c r="A143" s="526" t="s">
        <v>144</v>
      </c>
      <c r="B143" s="525" t="s">
        <v>66</v>
      </c>
      <c r="F143" s="593">
        <f t="shared" ref="F143:K143" si="16">F64</f>
        <v>12901</v>
      </c>
      <c r="G143" s="593">
        <f t="shared" si="16"/>
        <v>21977</v>
      </c>
      <c r="H143" s="593">
        <f t="shared" si="16"/>
        <v>22273493.487303603</v>
      </c>
      <c r="I143" s="593">
        <f t="shared" si="16"/>
        <v>234671.08121600002</v>
      </c>
      <c r="J143" s="593">
        <f t="shared" si="16"/>
        <v>830313</v>
      </c>
      <c r="K143" s="593">
        <f t="shared" si="16"/>
        <v>21677851.5685196</v>
      </c>
    </row>
    <row r="144" spans="1:11" ht="18" customHeight="1" x14ac:dyDescent="0.2">
      <c r="A144" s="526" t="s">
        <v>146</v>
      </c>
      <c r="B144" s="525" t="s">
        <v>67</v>
      </c>
      <c r="F144" s="593">
        <f t="shared" ref="F144:K144" si="17">F74</f>
        <v>17958</v>
      </c>
      <c r="G144" s="593">
        <f t="shared" si="17"/>
        <v>0</v>
      </c>
      <c r="H144" s="593">
        <f t="shared" si="17"/>
        <v>1009289.74</v>
      </c>
      <c r="I144" s="593">
        <f t="shared" si="17"/>
        <v>0</v>
      </c>
      <c r="J144" s="593">
        <f t="shared" si="17"/>
        <v>0</v>
      </c>
      <c r="K144" s="593">
        <f t="shared" si="17"/>
        <v>1009289.74</v>
      </c>
    </row>
    <row r="145" spans="1:11" ht="18" customHeight="1" x14ac:dyDescent="0.2">
      <c r="A145" s="526" t="s">
        <v>148</v>
      </c>
      <c r="B145" s="525" t="s">
        <v>68</v>
      </c>
      <c r="F145" s="593">
        <f t="shared" ref="F145:K145" si="18">F82</f>
        <v>2183</v>
      </c>
      <c r="G145" s="593">
        <f t="shared" si="18"/>
        <v>5084</v>
      </c>
      <c r="H145" s="593">
        <f t="shared" si="18"/>
        <v>2166575.5799999996</v>
      </c>
      <c r="I145" s="593">
        <f t="shared" si="18"/>
        <v>900.64401600000008</v>
      </c>
      <c r="J145" s="593">
        <f t="shared" si="18"/>
        <v>69746</v>
      </c>
      <c r="K145" s="593">
        <f t="shared" si="18"/>
        <v>2097730.2240160001</v>
      </c>
    </row>
    <row r="146" spans="1:11" ht="18" customHeight="1" x14ac:dyDescent="0.2">
      <c r="A146" s="526" t="s">
        <v>150</v>
      </c>
      <c r="B146" s="525" t="s">
        <v>69</v>
      </c>
      <c r="F146" s="593">
        <f t="shared" ref="F146:K146" si="19">F98</f>
        <v>79705.5</v>
      </c>
      <c r="G146" s="593">
        <f t="shared" si="19"/>
        <v>102997</v>
      </c>
      <c r="H146" s="593">
        <f t="shared" si="19"/>
        <v>3063917.0199999996</v>
      </c>
      <c r="I146" s="593">
        <f t="shared" si="19"/>
        <v>1406644.303882</v>
      </c>
      <c r="J146" s="593">
        <f t="shared" si="19"/>
        <v>84828</v>
      </c>
      <c r="K146" s="593">
        <f t="shared" si="19"/>
        <v>4385733.3238819987</v>
      </c>
    </row>
    <row r="147" spans="1:11" ht="18" customHeight="1" x14ac:dyDescent="0.2">
      <c r="A147" s="526" t="s">
        <v>153</v>
      </c>
      <c r="B147" s="525" t="s">
        <v>61</v>
      </c>
      <c r="F147" s="101">
        <f t="shared" ref="F147:K147" si="20">F108</f>
        <v>7078.5</v>
      </c>
      <c r="G147" s="101">
        <f t="shared" si="20"/>
        <v>0</v>
      </c>
      <c r="H147" s="101">
        <f t="shared" si="20"/>
        <v>527361</v>
      </c>
      <c r="I147" s="101">
        <f t="shared" si="20"/>
        <v>242111.4351</v>
      </c>
      <c r="J147" s="101">
        <f t="shared" si="20"/>
        <v>0</v>
      </c>
      <c r="K147" s="101">
        <f t="shared" si="20"/>
        <v>769472.43510000012</v>
      </c>
    </row>
    <row r="148" spans="1:11" ht="18" customHeight="1" x14ac:dyDescent="0.2">
      <c r="A148" s="526" t="s">
        <v>155</v>
      </c>
      <c r="B148" s="525" t="s">
        <v>70</v>
      </c>
      <c r="F148" s="594" t="s">
        <v>73</v>
      </c>
      <c r="G148" s="594" t="s">
        <v>73</v>
      </c>
      <c r="H148" s="595" t="s">
        <v>73</v>
      </c>
      <c r="I148" s="595" t="s">
        <v>73</v>
      </c>
      <c r="J148" s="595" t="s">
        <v>73</v>
      </c>
      <c r="K148" s="596">
        <f>F111</f>
        <v>26475000</v>
      </c>
    </row>
    <row r="149" spans="1:11" ht="18" customHeight="1" x14ac:dyDescent="0.2">
      <c r="A149" s="526" t="s">
        <v>163</v>
      </c>
      <c r="B149" s="525" t="s">
        <v>71</v>
      </c>
      <c r="F149" s="101">
        <f t="shared" ref="F149:K149" si="21">F137</f>
        <v>0</v>
      </c>
      <c r="G149" s="101">
        <f t="shared" si="21"/>
        <v>0</v>
      </c>
      <c r="H149" s="101">
        <f t="shared" si="21"/>
        <v>0</v>
      </c>
      <c r="I149" s="101">
        <f t="shared" si="21"/>
        <v>0</v>
      </c>
      <c r="J149" s="101">
        <f t="shared" si="21"/>
        <v>0</v>
      </c>
      <c r="K149" s="101">
        <f t="shared" si="21"/>
        <v>0</v>
      </c>
    </row>
    <row r="150" spans="1:11" ht="18" customHeight="1" x14ac:dyDescent="0.2">
      <c r="A150" s="526" t="s">
        <v>185</v>
      </c>
      <c r="B150" s="525" t="s">
        <v>186</v>
      </c>
      <c r="F150" s="594" t="s">
        <v>73</v>
      </c>
      <c r="G150" s="594" t="s">
        <v>73</v>
      </c>
      <c r="H150" s="101">
        <f>H18</f>
        <v>49880424</v>
      </c>
      <c r="I150" s="101">
        <f>I18</f>
        <v>0</v>
      </c>
      <c r="J150" s="101">
        <f>J18</f>
        <v>42158801</v>
      </c>
      <c r="K150" s="101">
        <f>K18</f>
        <v>7721623</v>
      </c>
    </row>
    <row r="151" spans="1:11" ht="18" customHeight="1" x14ac:dyDescent="0.2">
      <c r="B151" s="525"/>
      <c r="F151" s="575"/>
      <c r="G151" s="575"/>
      <c r="H151" s="575"/>
      <c r="I151" s="575"/>
      <c r="J151" s="575"/>
      <c r="K151" s="575"/>
    </row>
    <row r="152" spans="1:11" ht="18" customHeight="1" x14ac:dyDescent="0.2">
      <c r="A152" s="546" t="s">
        <v>165</v>
      </c>
      <c r="B152" s="525" t="s">
        <v>26</v>
      </c>
      <c r="F152" s="597">
        <f t="shared" ref="F152:K152" si="22">SUM(F141:F150)</f>
        <v>410705.7</v>
      </c>
      <c r="G152" s="597">
        <f t="shared" si="22"/>
        <v>764129.24000000011</v>
      </c>
      <c r="H152" s="597">
        <f t="shared" si="22"/>
        <v>224247682.21090364</v>
      </c>
      <c r="I152" s="597">
        <f t="shared" si="22"/>
        <v>66776117.390577763</v>
      </c>
      <c r="J152" s="597">
        <f t="shared" si="22"/>
        <v>44623443</v>
      </c>
      <c r="K152" s="597">
        <f t="shared" si="22"/>
        <v>272875356.60148132</v>
      </c>
    </row>
    <row r="154" spans="1:11" ht="18" customHeight="1" x14ac:dyDescent="0.2">
      <c r="A154" s="546" t="s">
        <v>168</v>
      </c>
      <c r="B154" s="525" t="s">
        <v>28</v>
      </c>
      <c r="F154" s="241">
        <f>K152/F121</f>
        <v>0.11387257497176144</v>
      </c>
    </row>
    <row r="155" spans="1:11" ht="18" customHeight="1" x14ac:dyDescent="0.2">
      <c r="A155" s="546" t="s">
        <v>169</v>
      </c>
      <c r="B155" s="525" t="s">
        <v>72</v>
      </c>
      <c r="F155" s="241">
        <f>K152/F127</f>
        <v>3.1937658778263263</v>
      </c>
      <c r="G155" s="525"/>
    </row>
    <row r="156" spans="1:11" ht="18" customHeight="1" x14ac:dyDescent="0.2">
      <c r="G156" s="525"/>
    </row>
  </sheetData>
  <sheetProtection algorithmName="SHA-512" hashValue="/A65M1VxQspBAXI228UrroQOobjfje3vi54xoxdGryt24LA2IhB3a2H0mLytONCGEzUmtZNOHWcBg/L2M1wCnQ==" saltValue="24I9OJhi7ccmRnkuNN0PQg==" spinCount="100000" sheet="1" objects="1" scenarios="1"/>
  <mergeCells count="38">
    <mergeCell ref="B46:D46"/>
    <mergeCell ref="B47:D47"/>
    <mergeCell ref="B52:C52"/>
    <mergeCell ref="B95:D95"/>
    <mergeCell ref="B54:D54"/>
    <mergeCell ref="B55:D55"/>
    <mergeCell ref="B56:D56"/>
    <mergeCell ref="B57:D57"/>
    <mergeCell ref="B58:D58"/>
    <mergeCell ref="B59:D59"/>
    <mergeCell ref="B60:D60"/>
    <mergeCell ref="B61:D61"/>
    <mergeCell ref="B62:D62"/>
    <mergeCell ref="B90:C90"/>
    <mergeCell ref="B94:D94"/>
    <mergeCell ref="B53:D53"/>
    <mergeCell ref="C10:G10"/>
    <mergeCell ref="D2:H2"/>
    <mergeCell ref="C5:G5"/>
    <mergeCell ref="C6:G6"/>
    <mergeCell ref="C7:G7"/>
    <mergeCell ref="C9:G9"/>
    <mergeCell ref="C11:G11"/>
    <mergeCell ref="B13:H13"/>
    <mergeCell ref="B30:D30"/>
    <mergeCell ref="B134:D134"/>
    <mergeCell ref="B135:D135"/>
    <mergeCell ref="B96:D96"/>
    <mergeCell ref="B103:C103"/>
    <mergeCell ref="B104:D104"/>
    <mergeCell ref="B105:D105"/>
    <mergeCell ref="B106:D106"/>
    <mergeCell ref="B133:D133"/>
    <mergeCell ref="B31:D31"/>
    <mergeCell ref="B34:D34"/>
    <mergeCell ref="B41:C41"/>
    <mergeCell ref="B44:D44"/>
    <mergeCell ref="B45:D45"/>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3" manualBreakCount="3">
    <brk id="37" max="16383" man="1"/>
    <brk id="74" max="16383" man="1"/>
    <brk id="10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R156"/>
  <sheetViews>
    <sheetView zoomScale="85" zoomScaleNormal="85" workbookViewId="0">
      <pane ySplit="12" topLeftCell="A13" activePane="bottomLeft" state="frozenSplit"/>
      <selection activeCell="K8" sqref="K8"/>
      <selection pane="bottomLeft" activeCell="B7" sqref="B7"/>
    </sheetView>
  </sheetViews>
  <sheetFormatPr defaultRowHeight="18" customHeight="1" x14ac:dyDescent="0.2"/>
  <cols>
    <col min="1" max="1" width="8.28515625" style="598" customWidth="1"/>
    <col min="2" max="2" width="55.42578125" style="259" bestFit="1" customWidth="1"/>
    <col min="3" max="3" width="7.140625" style="259" customWidth="1"/>
    <col min="4" max="4" width="5.28515625" style="259" customWidth="1"/>
    <col min="5" max="5" width="12.42578125" style="259" customWidth="1"/>
    <col min="6" max="6" width="18.5703125" style="259" customWidth="1"/>
    <col min="7" max="7" width="23.5703125" style="259" customWidth="1"/>
    <col min="8" max="8" width="17.140625" style="601" customWidth="1"/>
    <col min="9" max="9" width="21.140625" style="601" customWidth="1"/>
    <col min="10" max="10" width="19.85546875" style="601" customWidth="1"/>
    <col min="11" max="11" width="17.5703125" style="601" customWidth="1"/>
    <col min="12" max="12" width="9.140625" style="259"/>
    <col min="13" max="13" width="15.28515625" style="600" customWidth="1"/>
    <col min="14" max="14" width="13.42578125" style="259" bestFit="1" customWidth="1"/>
    <col min="15" max="15" width="9.140625" style="259"/>
    <col min="16" max="16" width="13.7109375" style="259" bestFit="1" customWidth="1"/>
    <col min="17" max="17" width="13.28515625" style="259" bestFit="1" customWidth="1"/>
    <col min="18" max="16384" width="9.140625" style="259"/>
  </cols>
  <sheetData>
    <row r="1" spans="1:11" ht="18" customHeight="1" x14ac:dyDescent="0.2">
      <c r="C1" s="431"/>
      <c r="D1" s="432"/>
      <c r="E1" s="431"/>
      <c r="F1" s="431"/>
      <c r="G1" s="431"/>
      <c r="H1" s="599"/>
      <c r="I1" s="599"/>
      <c r="J1" s="599"/>
      <c r="K1" s="599"/>
    </row>
    <row r="2" spans="1:11" ht="18" customHeight="1" x14ac:dyDescent="0.25">
      <c r="D2" s="433" t="s">
        <v>669</v>
      </c>
      <c r="E2" s="434"/>
      <c r="F2" s="434"/>
      <c r="G2" s="434"/>
      <c r="H2" s="434"/>
    </row>
    <row r="3" spans="1:11" ht="18" customHeight="1" x14ac:dyDescent="0.2">
      <c r="B3" s="421" t="s">
        <v>0</v>
      </c>
    </row>
    <row r="5" spans="1:11" ht="18" customHeight="1" x14ac:dyDescent="0.2">
      <c r="B5" s="435" t="s">
        <v>40</v>
      </c>
      <c r="C5" s="489" t="s">
        <v>494</v>
      </c>
      <c r="D5" s="437"/>
      <c r="E5" s="437"/>
      <c r="F5" s="437"/>
      <c r="G5" s="438"/>
    </row>
    <row r="6" spans="1:11" ht="18" customHeight="1" x14ac:dyDescent="0.2">
      <c r="B6" s="435" t="s">
        <v>3</v>
      </c>
      <c r="C6" s="439">
        <v>210010</v>
      </c>
      <c r="D6" s="440"/>
      <c r="E6" s="440"/>
      <c r="F6" s="440"/>
      <c r="G6" s="441"/>
    </row>
    <row r="7" spans="1:11" ht="18" customHeight="1" x14ac:dyDescent="0.2">
      <c r="B7" s="435" t="s">
        <v>4</v>
      </c>
      <c r="C7" s="398">
        <v>283.60465625000001</v>
      </c>
      <c r="D7" s="399"/>
      <c r="E7" s="399"/>
      <c r="F7" s="399"/>
      <c r="G7" s="400"/>
    </row>
    <row r="9" spans="1:11" ht="18" customHeight="1" x14ac:dyDescent="0.2">
      <c r="B9" s="435" t="s">
        <v>1</v>
      </c>
      <c r="C9" s="489" t="s">
        <v>543</v>
      </c>
      <c r="D9" s="437"/>
      <c r="E9" s="437"/>
      <c r="F9" s="437"/>
      <c r="G9" s="438"/>
    </row>
    <row r="10" spans="1:11" ht="18" customHeight="1" x14ac:dyDescent="0.2">
      <c r="B10" s="435" t="s">
        <v>2</v>
      </c>
      <c r="C10" s="445" t="s">
        <v>358</v>
      </c>
      <c r="D10" s="446"/>
      <c r="E10" s="446"/>
      <c r="F10" s="446"/>
      <c r="G10" s="447"/>
    </row>
    <row r="11" spans="1:11" ht="18" customHeight="1" x14ac:dyDescent="0.2">
      <c r="B11" s="435" t="s">
        <v>32</v>
      </c>
      <c r="C11" s="495" t="s">
        <v>544</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599"/>
    </row>
    <row r="14" spans="1:11" ht="18" customHeight="1" x14ac:dyDescent="0.2">
      <c r="B14" s="453"/>
    </row>
    <row r="15" spans="1:11" ht="18" customHeight="1" x14ac:dyDescent="0.2">
      <c r="B15" s="453"/>
    </row>
    <row r="16" spans="1:11" ht="45.2" customHeight="1" x14ac:dyDescent="0.2">
      <c r="A16" s="602" t="s">
        <v>181</v>
      </c>
      <c r="B16" s="431"/>
      <c r="C16" s="431"/>
      <c r="D16" s="431"/>
      <c r="E16" s="431"/>
      <c r="F16" s="454" t="s">
        <v>9</v>
      </c>
      <c r="G16" s="454" t="s">
        <v>37</v>
      </c>
      <c r="H16" s="603" t="s">
        <v>29</v>
      </c>
      <c r="I16" s="603" t="s">
        <v>30</v>
      </c>
      <c r="J16" s="603" t="s">
        <v>33</v>
      </c>
      <c r="K16" s="603" t="s">
        <v>34</v>
      </c>
    </row>
    <row r="17" spans="1:11" ht="18" customHeight="1" x14ac:dyDescent="0.2">
      <c r="A17" s="604" t="s">
        <v>184</v>
      </c>
      <c r="B17" s="421" t="s">
        <v>182</v>
      </c>
    </row>
    <row r="18" spans="1:11" ht="18" customHeight="1" x14ac:dyDescent="0.2">
      <c r="A18" s="605" t="s">
        <v>185</v>
      </c>
      <c r="B18" s="419" t="s">
        <v>183</v>
      </c>
      <c r="F18" s="221" t="s">
        <v>73</v>
      </c>
      <c r="G18" s="221" t="s">
        <v>73</v>
      </c>
      <c r="H18" s="270">
        <v>1060681.3888266529</v>
      </c>
      <c r="I18" s="271">
        <v>0</v>
      </c>
      <c r="J18" s="270">
        <v>896485.07805756363</v>
      </c>
      <c r="K18" s="270">
        <f>(H18+I18)-J18</f>
        <v>164196.31076908926</v>
      </c>
    </row>
    <row r="19" spans="1:11" ht="45.2" customHeight="1" x14ac:dyDescent="0.2">
      <c r="A19" s="602" t="s">
        <v>8</v>
      </c>
      <c r="B19" s="431"/>
      <c r="C19" s="431"/>
      <c r="D19" s="431"/>
      <c r="E19" s="431"/>
      <c r="F19" s="454" t="s">
        <v>9</v>
      </c>
      <c r="G19" s="454" t="s">
        <v>37</v>
      </c>
      <c r="H19" s="603" t="s">
        <v>29</v>
      </c>
      <c r="I19" s="603" t="s">
        <v>30</v>
      </c>
      <c r="J19" s="603" t="s">
        <v>33</v>
      </c>
      <c r="K19" s="603" t="s">
        <v>34</v>
      </c>
    </row>
    <row r="20" spans="1:11" ht="18" customHeight="1" x14ac:dyDescent="0.2">
      <c r="A20" s="604" t="s">
        <v>74</v>
      </c>
      <c r="B20" s="421" t="s">
        <v>41</v>
      </c>
    </row>
    <row r="21" spans="1:11" ht="18" customHeight="1" x14ac:dyDescent="0.2">
      <c r="A21" s="605" t="s">
        <v>75</v>
      </c>
      <c r="B21" s="419" t="s">
        <v>42</v>
      </c>
      <c r="F21" s="221">
        <v>840</v>
      </c>
      <c r="G21" s="221">
        <v>1190</v>
      </c>
      <c r="H21" s="221">
        <v>41792.84907845228</v>
      </c>
      <c r="I21" s="221">
        <v>16885.297813699566</v>
      </c>
      <c r="J21" s="221">
        <v>0</v>
      </c>
      <c r="K21" s="270">
        <f t="shared" ref="K21:K34" si="0">(H21+I21)-J21</f>
        <v>58678.146892151846</v>
      </c>
    </row>
    <row r="22" spans="1:11" ht="18" customHeight="1" x14ac:dyDescent="0.2">
      <c r="A22" s="605" t="s">
        <v>76</v>
      </c>
      <c r="B22" s="259" t="s">
        <v>6</v>
      </c>
      <c r="F22" s="221">
        <v>75</v>
      </c>
      <c r="G22" s="221">
        <v>53</v>
      </c>
      <c r="H22" s="221">
        <v>2786.4150962903818</v>
      </c>
      <c r="I22" s="221">
        <v>1125.7774899512508</v>
      </c>
      <c r="J22" s="221">
        <v>0</v>
      </c>
      <c r="K22" s="270">
        <f t="shared" si="0"/>
        <v>3912.1925862416329</v>
      </c>
    </row>
    <row r="23" spans="1:11" ht="18" customHeight="1" x14ac:dyDescent="0.2">
      <c r="A23" s="605" t="s">
        <v>77</v>
      </c>
      <c r="B23" s="259" t="s">
        <v>43</v>
      </c>
      <c r="F23" s="221"/>
      <c r="G23" s="221"/>
      <c r="H23" s="221"/>
      <c r="I23" s="221"/>
      <c r="J23" s="221"/>
      <c r="K23" s="270">
        <f t="shared" si="0"/>
        <v>0</v>
      </c>
    </row>
    <row r="24" spans="1:11" ht="18" customHeight="1" x14ac:dyDescent="0.2">
      <c r="A24" s="605" t="s">
        <v>78</v>
      </c>
      <c r="B24" s="259" t="s">
        <v>44</v>
      </c>
      <c r="F24" s="221">
        <v>22</v>
      </c>
      <c r="G24" s="221">
        <v>44</v>
      </c>
      <c r="H24" s="221">
        <v>817.34842824517864</v>
      </c>
      <c r="I24" s="221">
        <v>330.22806371903357</v>
      </c>
      <c r="J24" s="221">
        <v>0</v>
      </c>
      <c r="K24" s="270">
        <f t="shared" si="0"/>
        <v>1147.5764919642122</v>
      </c>
    </row>
    <row r="25" spans="1:11" ht="18" customHeight="1" x14ac:dyDescent="0.2">
      <c r="A25" s="605" t="s">
        <v>79</v>
      </c>
      <c r="B25" s="259" t="s">
        <v>5</v>
      </c>
      <c r="F25" s="221"/>
      <c r="G25" s="221"/>
      <c r="H25" s="221"/>
      <c r="I25" s="221"/>
      <c r="J25" s="221"/>
      <c r="K25" s="270">
        <f t="shared" si="0"/>
        <v>0</v>
      </c>
    </row>
    <row r="26" spans="1:11" ht="18" customHeight="1" x14ac:dyDescent="0.2">
      <c r="A26" s="605" t="s">
        <v>80</v>
      </c>
      <c r="B26" s="259" t="s">
        <v>45</v>
      </c>
      <c r="F26" s="221"/>
      <c r="G26" s="221"/>
      <c r="H26" s="221"/>
      <c r="I26" s="221"/>
      <c r="J26" s="221"/>
      <c r="K26" s="270">
        <f t="shared" si="0"/>
        <v>0</v>
      </c>
    </row>
    <row r="27" spans="1:11" ht="18" customHeight="1" x14ac:dyDescent="0.2">
      <c r="A27" s="605" t="s">
        <v>81</v>
      </c>
      <c r="B27" s="259" t="s">
        <v>46</v>
      </c>
      <c r="F27" s="221"/>
      <c r="G27" s="221"/>
      <c r="H27" s="221"/>
      <c r="I27" s="221"/>
      <c r="J27" s="221"/>
      <c r="K27" s="270">
        <f t="shared" si="0"/>
        <v>0</v>
      </c>
    </row>
    <row r="28" spans="1:11" ht="18" customHeight="1" x14ac:dyDescent="0.2">
      <c r="A28" s="605" t="s">
        <v>82</v>
      </c>
      <c r="B28" s="259" t="s">
        <v>47</v>
      </c>
      <c r="F28" s="221"/>
      <c r="G28" s="221"/>
      <c r="H28" s="221"/>
      <c r="I28" s="221"/>
      <c r="J28" s="221"/>
      <c r="K28" s="270">
        <f t="shared" si="0"/>
        <v>0</v>
      </c>
    </row>
    <row r="29" spans="1:11" ht="18" customHeight="1" x14ac:dyDescent="0.2">
      <c r="A29" s="605" t="s">
        <v>83</v>
      </c>
      <c r="B29" s="259" t="s">
        <v>48</v>
      </c>
      <c r="F29" s="221">
        <v>102</v>
      </c>
      <c r="G29" s="221">
        <v>35</v>
      </c>
      <c r="H29" s="221">
        <v>3789.5245309549191</v>
      </c>
      <c r="I29" s="221">
        <v>1531.0573863337013</v>
      </c>
      <c r="J29" s="221">
        <v>0</v>
      </c>
      <c r="K29" s="270">
        <f t="shared" si="0"/>
        <v>5320.5819172886204</v>
      </c>
    </row>
    <row r="30" spans="1:11" ht="18" customHeight="1" x14ac:dyDescent="0.2">
      <c r="A30" s="605" t="s">
        <v>84</v>
      </c>
      <c r="B30" s="456"/>
      <c r="C30" s="457"/>
      <c r="D30" s="458"/>
      <c r="F30" s="221"/>
      <c r="G30" s="221"/>
      <c r="H30" s="270"/>
      <c r="I30" s="271"/>
      <c r="J30" s="270"/>
      <c r="K30" s="270">
        <f t="shared" si="0"/>
        <v>0</v>
      </c>
    </row>
    <row r="31" spans="1:11" ht="18" customHeight="1" x14ac:dyDescent="0.2">
      <c r="A31" s="605" t="s">
        <v>133</v>
      </c>
      <c r="B31" s="456"/>
      <c r="C31" s="457"/>
      <c r="D31" s="458"/>
      <c r="F31" s="221"/>
      <c r="G31" s="221"/>
      <c r="H31" s="270"/>
      <c r="I31" s="271"/>
      <c r="J31" s="270"/>
      <c r="K31" s="270">
        <f t="shared" si="0"/>
        <v>0</v>
      </c>
    </row>
    <row r="32" spans="1:11" ht="18" customHeight="1" x14ac:dyDescent="0.2">
      <c r="A32" s="605" t="s">
        <v>134</v>
      </c>
      <c r="B32" s="459"/>
      <c r="C32" s="460"/>
      <c r="D32" s="461"/>
      <c r="F32" s="221"/>
      <c r="G32" s="255" t="s">
        <v>85</v>
      </c>
      <c r="H32" s="270"/>
      <c r="I32" s="271"/>
      <c r="J32" s="270"/>
      <c r="K32" s="270">
        <f t="shared" si="0"/>
        <v>0</v>
      </c>
    </row>
    <row r="33" spans="1:11" ht="18" customHeight="1" x14ac:dyDescent="0.2">
      <c r="A33" s="605" t="s">
        <v>135</v>
      </c>
      <c r="B33" s="459"/>
      <c r="C33" s="460"/>
      <c r="D33" s="461"/>
      <c r="F33" s="221"/>
      <c r="G33" s="255" t="s">
        <v>85</v>
      </c>
      <c r="H33" s="270"/>
      <c r="I33" s="271"/>
      <c r="J33" s="270"/>
      <c r="K33" s="270">
        <f t="shared" si="0"/>
        <v>0</v>
      </c>
    </row>
    <row r="34" spans="1:11" ht="18" customHeight="1" x14ac:dyDescent="0.2">
      <c r="A34" s="605" t="s">
        <v>136</v>
      </c>
      <c r="B34" s="456"/>
      <c r="C34" s="457"/>
      <c r="D34" s="458"/>
      <c r="F34" s="221"/>
      <c r="G34" s="255" t="s">
        <v>85</v>
      </c>
      <c r="H34" s="270"/>
      <c r="I34" s="271"/>
      <c r="J34" s="270"/>
      <c r="K34" s="270">
        <f t="shared" si="0"/>
        <v>0</v>
      </c>
    </row>
    <row r="35" spans="1:11" ht="18" customHeight="1" x14ac:dyDescent="0.2">
      <c r="K35" s="606"/>
    </row>
    <row r="36" spans="1:11" ht="18" customHeight="1" x14ac:dyDescent="0.2">
      <c r="A36" s="604" t="s">
        <v>137</v>
      </c>
      <c r="B36" s="421" t="s">
        <v>138</v>
      </c>
      <c r="E36" s="421" t="s">
        <v>7</v>
      </c>
      <c r="F36" s="221">
        <f t="shared" ref="F36:K36" si="1">SUM(F21:F34)</f>
        <v>1039</v>
      </c>
      <c r="G36" s="221">
        <f t="shared" si="1"/>
        <v>1322</v>
      </c>
      <c r="H36" s="270">
        <f t="shared" si="1"/>
        <v>49186.137133942757</v>
      </c>
      <c r="I36" s="270">
        <f t="shared" si="1"/>
        <v>19872.360753703553</v>
      </c>
      <c r="J36" s="270">
        <f t="shared" si="1"/>
        <v>0</v>
      </c>
      <c r="K36" s="270">
        <f t="shared" si="1"/>
        <v>69058.497887646314</v>
      </c>
    </row>
    <row r="37" spans="1:11" ht="18" customHeight="1" thickBot="1" x14ac:dyDescent="0.25">
      <c r="B37" s="421"/>
      <c r="F37" s="462"/>
      <c r="G37" s="462"/>
      <c r="H37" s="607"/>
      <c r="I37" s="607"/>
      <c r="J37" s="607"/>
      <c r="K37" s="608"/>
    </row>
    <row r="38" spans="1:11" ht="42.75" customHeight="1" x14ac:dyDescent="0.2">
      <c r="F38" s="454" t="s">
        <v>9</v>
      </c>
      <c r="G38" s="454" t="s">
        <v>37</v>
      </c>
      <c r="H38" s="603" t="s">
        <v>29</v>
      </c>
      <c r="I38" s="603" t="s">
        <v>30</v>
      </c>
      <c r="J38" s="603" t="s">
        <v>33</v>
      </c>
      <c r="K38" s="603" t="s">
        <v>34</v>
      </c>
    </row>
    <row r="39" spans="1:11" ht="18.75" customHeight="1" x14ac:dyDescent="0.2">
      <c r="A39" s="604" t="s">
        <v>86</v>
      </c>
      <c r="B39" s="421" t="s">
        <v>49</v>
      </c>
    </row>
    <row r="40" spans="1:11" ht="18" customHeight="1" x14ac:dyDescent="0.2">
      <c r="A40" s="605" t="s">
        <v>87</v>
      </c>
      <c r="B40" s="259" t="s">
        <v>31</v>
      </c>
      <c r="F40" s="221"/>
      <c r="G40" s="221"/>
      <c r="H40" s="270"/>
      <c r="I40" s="271">
        <v>0</v>
      </c>
      <c r="J40" s="270"/>
      <c r="K40" s="270">
        <f>(H40+I40)-J40</f>
        <v>0</v>
      </c>
    </row>
    <row r="41" spans="1:11" ht="18" customHeight="1" x14ac:dyDescent="0.2">
      <c r="A41" s="605" t="s">
        <v>88</v>
      </c>
      <c r="B41" s="465" t="s">
        <v>50</v>
      </c>
      <c r="C41" s="466"/>
      <c r="F41" s="221">
        <v>3358.3441573628124</v>
      </c>
      <c r="G41" s="221">
        <v>9</v>
      </c>
      <c r="H41" s="270">
        <v>114900</v>
      </c>
      <c r="I41" s="271">
        <v>0</v>
      </c>
      <c r="J41" s="270">
        <v>0</v>
      </c>
      <c r="K41" s="270">
        <f t="shared" ref="K41:K47" si="2">(H41+I41)-J41</f>
        <v>114900</v>
      </c>
    </row>
    <row r="42" spans="1:11" ht="18" customHeight="1" x14ac:dyDescent="0.2">
      <c r="A42" s="605" t="s">
        <v>89</v>
      </c>
      <c r="B42" s="419" t="s">
        <v>11</v>
      </c>
      <c r="F42" s="221">
        <v>0</v>
      </c>
      <c r="G42" s="221">
        <v>103</v>
      </c>
      <c r="H42" s="221">
        <v>7630.2843767441245</v>
      </c>
      <c r="I42" s="221">
        <v>3082.8150495959171</v>
      </c>
      <c r="J42" s="221">
        <v>0</v>
      </c>
      <c r="K42" s="270">
        <f t="shared" si="2"/>
        <v>10713.099426340043</v>
      </c>
    </row>
    <row r="43" spans="1:11" ht="18" customHeight="1" x14ac:dyDescent="0.2">
      <c r="A43" s="605" t="s">
        <v>90</v>
      </c>
      <c r="B43" s="467" t="s">
        <v>10</v>
      </c>
      <c r="C43" s="468"/>
      <c r="D43" s="468"/>
      <c r="F43" s="221"/>
      <c r="G43" s="221"/>
      <c r="H43" s="270"/>
      <c r="I43" s="271"/>
      <c r="J43" s="270"/>
      <c r="K43" s="270">
        <f t="shared" si="2"/>
        <v>0</v>
      </c>
    </row>
    <row r="44" spans="1:11" ht="18" customHeight="1" x14ac:dyDescent="0.2">
      <c r="A44" s="605" t="s">
        <v>91</v>
      </c>
      <c r="B44" s="456"/>
      <c r="C44" s="457"/>
      <c r="D44" s="458"/>
      <c r="F44" s="221"/>
      <c r="G44" s="221"/>
      <c r="H44" s="270"/>
      <c r="I44" s="271"/>
      <c r="J44" s="270"/>
      <c r="K44" s="270">
        <f t="shared" si="2"/>
        <v>0</v>
      </c>
    </row>
    <row r="45" spans="1:11" ht="18" customHeight="1" x14ac:dyDescent="0.2">
      <c r="A45" s="605" t="s">
        <v>139</v>
      </c>
      <c r="B45" s="456"/>
      <c r="C45" s="457"/>
      <c r="D45" s="458"/>
      <c r="F45" s="221"/>
      <c r="G45" s="221"/>
      <c r="H45" s="270"/>
      <c r="I45" s="271"/>
      <c r="J45" s="270"/>
      <c r="K45" s="270">
        <f t="shared" si="2"/>
        <v>0</v>
      </c>
    </row>
    <row r="46" spans="1:11" ht="18" customHeight="1" x14ac:dyDescent="0.2">
      <c r="A46" s="605" t="s">
        <v>140</v>
      </c>
      <c r="B46" s="456"/>
      <c r="C46" s="457"/>
      <c r="D46" s="458"/>
      <c r="F46" s="221"/>
      <c r="G46" s="221"/>
      <c r="H46" s="270"/>
      <c r="I46" s="271"/>
      <c r="J46" s="270"/>
      <c r="K46" s="270">
        <f t="shared" si="2"/>
        <v>0</v>
      </c>
    </row>
    <row r="47" spans="1:11" ht="18" customHeight="1" x14ac:dyDescent="0.2">
      <c r="A47" s="605" t="s">
        <v>141</v>
      </c>
      <c r="B47" s="456"/>
      <c r="C47" s="457"/>
      <c r="D47" s="458"/>
      <c r="F47" s="221"/>
      <c r="G47" s="221"/>
      <c r="H47" s="270"/>
      <c r="I47" s="271"/>
      <c r="J47" s="270"/>
      <c r="K47" s="270">
        <f t="shared" si="2"/>
        <v>0</v>
      </c>
    </row>
    <row r="49" spans="1:18" ht="18" customHeight="1" x14ac:dyDescent="0.2">
      <c r="A49" s="604" t="s">
        <v>142</v>
      </c>
      <c r="B49" s="421" t="s">
        <v>143</v>
      </c>
      <c r="E49" s="421" t="s">
        <v>7</v>
      </c>
      <c r="F49" s="409">
        <f t="shared" ref="F49:K49" si="3">SUM(F40:F47)</f>
        <v>3358.3441573628124</v>
      </c>
      <c r="G49" s="409">
        <f t="shared" si="3"/>
        <v>112</v>
      </c>
      <c r="H49" s="270">
        <f t="shared" si="3"/>
        <v>122530.28437674412</v>
      </c>
      <c r="I49" s="270">
        <f t="shared" si="3"/>
        <v>3082.8150495959171</v>
      </c>
      <c r="J49" s="270">
        <f t="shared" si="3"/>
        <v>0</v>
      </c>
      <c r="K49" s="270">
        <f t="shared" si="3"/>
        <v>125613.09942634005</v>
      </c>
    </row>
    <row r="50" spans="1:18" ht="18" customHeight="1" thickBot="1" x14ac:dyDescent="0.25">
      <c r="G50" s="469"/>
      <c r="H50" s="609"/>
      <c r="I50" s="609"/>
      <c r="J50" s="609"/>
      <c r="K50" s="609"/>
    </row>
    <row r="51" spans="1:18" ht="42.75" customHeight="1" x14ac:dyDescent="0.2">
      <c r="F51" s="454" t="s">
        <v>9</v>
      </c>
      <c r="G51" s="454" t="s">
        <v>37</v>
      </c>
      <c r="H51" s="603" t="s">
        <v>29</v>
      </c>
      <c r="I51" s="603" t="s">
        <v>30</v>
      </c>
      <c r="J51" s="603" t="s">
        <v>33</v>
      </c>
      <c r="K51" s="603" t="s">
        <v>34</v>
      </c>
    </row>
    <row r="52" spans="1:18" ht="18" customHeight="1" x14ac:dyDescent="0.2">
      <c r="A52" s="604" t="s">
        <v>92</v>
      </c>
      <c r="B52" s="470" t="s">
        <v>38</v>
      </c>
      <c r="C52" s="471"/>
    </row>
    <row r="53" spans="1:18" ht="18" customHeight="1" x14ac:dyDescent="0.2">
      <c r="A53" s="605" t="s">
        <v>97</v>
      </c>
      <c r="B53" s="610" t="s">
        <v>763</v>
      </c>
      <c r="C53" s="425"/>
      <c r="D53" s="415"/>
      <c r="F53" s="221"/>
      <c r="G53" s="221"/>
      <c r="H53" s="221">
        <v>1415347.5</v>
      </c>
      <c r="I53" s="221">
        <v>483878.01945145807</v>
      </c>
      <c r="J53" s="221"/>
      <c r="K53" s="270">
        <f t="shared" ref="K53:K61" si="4">(H53+I53)-J53</f>
        <v>1899225.519451458</v>
      </c>
      <c r="M53" s="611"/>
      <c r="N53" s="611"/>
      <c r="O53" s="612"/>
      <c r="P53" s="613"/>
      <c r="Q53" s="613"/>
      <c r="R53" s="614"/>
    </row>
    <row r="54" spans="1:18" ht="18" customHeight="1" x14ac:dyDescent="0.2">
      <c r="A54" s="605" t="s">
        <v>790</v>
      </c>
      <c r="B54" s="413" t="s">
        <v>791</v>
      </c>
      <c r="C54" s="615"/>
      <c r="D54" s="616"/>
      <c r="F54" s="221"/>
      <c r="G54" s="221"/>
      <c r="H54" s="221">
        <v>1220394</v>
      </c>
      <c r="I54" s="221">
        <f>+H54*F114</f>
        <v>764060.78371004981</v>
      </c>
      <c r="J54" s="221"/>
      <c r="K54" s="270">
        <f t="shared" si="4"/>
        <v>1984454.7837100499</v>
      </c>
      <c r="M54" s="611"/>
      <c r="N54" s="611"/>
      <c r="O54" s="612"/>
      <c r="P54" s="613"/>
      <c r="Q54" s="613"/>
      <c r="R54" s="614"/>
    </row>
    <row r="55" spans="1:18" ht="18" customHeight="1" x14ac:dyDescent="0.2">
      <c r="A55" s="605" t="s">
        <v>93</v>
      </c>
      <c r="B55" s="420" t="s">
        <v>362</v>
      </c>
      <c r="C55" s="414"/>
      <c r="D55" s="415"/>
      <c r="F55" s="221">
        <v>10950</v>
      </c>
      <c r="G55" s="221">
        <v>19543</v>
      </c>
      <c r="H55" s="221">
        <v>1070264</v>
      </c>
      <c r="I55" s="221">
        <f>+H55*$F$114</f>
        <v>670067.82286429848</v>
      </c>
      <c r="J55" s="221"/>
      <c r="K55" s="270">
        <f t="shared" si="4"/>
        <v>1740331.8228642985</v>
      </c>
      <c r="M55" s="611"/>
      <c r="N55" s="611"/>
      <c r="O55" s="611"/>
      <c r="P55" s="613"/>
      <c r="Q55" s="613"/>
      <c r="R55" s="614"/>
    </row>
    <row r="56" spans="1:18" ht="18" customHeight="1" x14ac:dyDescent="0.2">
      <c r="A56" s="605" t="s">
        <v>99</v>
      </c>
      <c r="B56" s="413" t="s">
        <v>765</v>
      </c>
      <c r="C56" s="414"/>
      <c r="D56" s="415"/>
      <c r="F56" s="221">
        <v>241</v>
      </c>
      <c r="G56" s="221">
        <v>157</v>
      </c>
      <c r="H56" s="221">
        <v>923841.33333333326</v>
      </c>
      <c r="I56" s="221">
        <v>315842.23285145708</v>
      </c>
      <c r="J56" s="221"/>
      <c r="K56" s="270">
        <f t="shared" si="4"/>
        <v>1239683.5661847903</v>
      </c>
      <c r="M56" s="611"/>
      <c r="N56" s="611"/>
      <c r="O56" s="612"/>
      <c r="P56" s="613"/>
      <c r="Q56" s="613"/>
      <c r="R56" s="614"/>
    </row>
    <row r="57" spans="1:18" ht="18" customHeight="1" x14ac:dyDescent="0.2">
      <c r="A57" s="605" t="s">
        <v>51</v>
      </c>
      <c r="B57" s="420" t="s">
        <v>361</v>
      </c>
      <c r="C57" s="414"/>
      <c r="D57" s="415"/>
      <c r="F57" s="221">
        <v>618.81666666666672</v>
      </c>
      <c r="G57" s="221">
        <v>703</v>
      </c>
      <c r="H57" s="221">
        <v>468956</v>
      </c>
      <c r="I57" s="221">
        <f>+H57*$F$114</f>
        <v>293602.63069593109</v>
      </c>
      <c r="J57" s="221"/>
      <c r="K57" s="270">
        <f t="shared" si="4"/>
        <v>762558.63069593115</v>
      </c>
      <c r="M57" s="611"/>
      <c r="N57" s="611"/>
      <c r="O57" s="612"/>
      <c r="P57" s="613"/>
      <c r="Q57" s="613"/>
      <c r="R57" s="614"/>
    </row>
    <row r="58" spans="1:18" ht="18" customHeight="1" x14ac:dyDescent="0.2">
      <c r="A58" s="605" t="s">
        <v>95</v>
      </c>
      <c r="B58" s="413" t="s">
        <v>360</v>
      </c>
      <c r="C58" s="414"/>
      <c r="D58" s="415"/>
      <c r="F58" s="272"/>
      <c r="G58" s="221"/>
      <c r="H58" s="221">
        <v>446550</v>
      </c>
      <c r="I58" s="221">
        <f>+H58*$F$114</f>
        <v>279574.74632432044</v>
      </c>
      <c r="J58" s="221"/>
      <c r="K58" s="270">
        <f t="shared" si="4"/>
        <v>726124.74632432044</v>
      </c>
      <c r="M58" s="611"/>
      <c r="N58" s="611"/>
      <c r="O58" s="612"/>
      <c r="P58" s="613"/>
      <c r="Q58" s="613"/>
      <c r="R58" s="614"/>
    </row>
    <row r="59" spans="1:18" ht="18" customHeight="1" x14ac:dyDescent="0.2">
      <c r="A59" s="605" t="s">
        <v>98</v>
      </c>
      <c r="B59" s="420" t="s">
        <v>788</v>
      </c>
      <c r="C59" s="414"/>
      <c r="D59" s="415"/>
      <c r="F59" s="221"/>
      <c r="G59" s="221"/>
      <c r="H59" s="221">
        <v>272133.33333333326</v>
      </c>
      <c r="I59" s="221">
        <v>93036.754832333972</v>
      </c>
      <c r="J59" s="221"/>
      <c r="K59" s="270">
        <f t="shared" si="4"/>
        <v>365170.08816566726</v>
      </c>
      <c r="M59" s="611"/>
      <c r="N59" s="611"/>
      <c r="O59" s="612"/>
      <c r="P59" s="613"/>
      <c r="Q59" s="613"/>
      <c r="R59" s="614"/>
    </row>
    <row r="60" spans="1:18" ht="18" customHeight="1" x14ac:dyDescent="0.2">
      <c r="A60" s="605" t="s">
        <v>789</v>
      </c>
      <c r="B60" s="413" t="s">
        <v>359</v>
      </c>
      <c r="C60" s="615"/>
      <c r="D60" s="616"/>
      <c r="F60" s="221"/>
      <c r="G60" s="221"/>
      <c r="H60" s="221">
        <v>152653</v>
      </c>
      <c r="I60" s="221">
        <f>+H60*F114</f>
        <v>95572.553466905141</v>
      </c>
      <c r="J60" s="221"/>
      <c r="K60" s="270">
        <f t="shared" si="4"/>
        <v>248225.55346690514</v>
      </c>
      <c r="M60" s="611"/>
      <c r="N60" s="611"/>
      <c r="O60" s="611"/>
    </row>
    <row r="61" spans="1:18" ht="18" customHeight="1" x14ac:dyDescent="0.2">
      <c r="A61" s="605" t="s">
        <v>94</v>
      </c>
      <c r="B61" s="413" t="s">
        <v>787</v>
      </c>
      <c r="C61" s="414"/>
      <c r="D61" s="415"/>
      <c r="F61" s="221">
        <v>1715</v>
      </c>
      <c r="G61" s="221">
        <v>219</v>
      </c>
      <c r="H61" s="221">
        <v>63716.025201840064</v>
      </c>
      <c r="I61" s="221">
        <v>25742.778603551935</v>
      </c>
      <c r="J61" s="221">
        <v>0</v>
      </c>
      <c r="K61" s="270">
        <f t="shared" si="4"/>
        <v>89458.803805392003</v>
      </c>
      <c r="M61" s="611"/>
      <c r="N61" s="611"/>
      <c r="O61" s="612"/>
    </row>
    <row r="62" spans="1:18" ht="18" customHeight="1" x14ac:dyDescent="0.2">
      <c r="A62" s="605"/>
      <c r="B62" s="413" t="s">
        <v>233</v>
      </c>
      <c r="C62" s="414"/>
      <c r="D62" s="415"/>
      <c r="F62" s="221">
        <v>1956</v>
      </c>
      <c r="G62" s="221">
        <v>376</v>
      </c>
      <c r="H62" s="221">
        <v>114220.91</v>
      </c>
      <c r="I62" s="221">
        <v>56311.519999999997</v>
      </c>
      <c r="J62" s="221">
        <v>42680</v>
      </c>
      <c r="K62" s="270">
        <v>127852.44</v>
      </c>
      <c r="M62" s="611"/>
      <c r="N62" s="611"/>
      <c r="O62" s="612"/>
    </row>
    <row r="63" spans="1:18" ht="18" customHeight="1" x14ac:dyDescent="0.2">
      <c r="A63" s="605"/>
      <c r="I63" s="273"/>
      <c r="M63" s="611"/>
      <c r="N63" s="611"/>
      <c r="O63" s="611"/>
    </row>
    <row r="64" spans="1:18" ht="18" customHeight="1" x14ac:dyDescent="0.2">
      <c r="A64" s="605" t="s">
        <v>144</v>
      </c>
      <c r="B64" s="421" t="s">
        <v>145</v>
      </c>
      <c r="E64" s="421" t="s">
        <v>7</v>
      </c>
      <c r="F64" s="221">
        <f t="shared" ref="F64:K64" si="5">SUM(F53:F62)</f>
        <v>15480.816666666668</v>
      </c>
      <c r="G64" s="221">
        <f t="shared" si="5"/>
        <v>20998</v>
      </c>
      <c r="H64" s="270">
        <f t="shared" si="5"/>
        <v>6148076.1018685065</v>
      </c>
      <c r="I64" s="270">
        <f t="shared" si="5"/>
        <v>3077689.8428003057</v>
      </c>
      <c r="J64" s="270">
        <f t="shared" si="5"/>
        <v>42680</v>
      </c>
      <c r="K64" s="270">
        <f t="shared" si="5"/>
        <v>9183085.9546688125</v>
      </c>
      <c r="M64" s="611"/>
      <c r="N64" s="611"/>
      <c r="O64" s="611"/>
    </row>
    <row r="65" spans="1:11" ht="18" customHeight="1" x14ac:dyDescent="0.2">
      <c r="F65" s="478"/>
      <c r="G65" s="478"/>
      <c r="H65" s="617"/>
      <c r="I65" s="617"/>
      <c r="J65" s="617"/>
      <c r="K65" s="617"/>
    </row>
    <row r="66" spans="1:11" ht="42.75" customHeight="1" x14ac:dyDescent="0.2">
      <c r="F66" s="479" t="s">
        <v>9</v>
      </c>
      <c r="G66" s="479" t="s">
        <v>37</v>
      </c>
      <c r="H66" s="618" t="s">
        <v>29</v>
      </c>
      <c r="I66" s="618" t="s">
        <v>30</v>
      </c>
      <c r="J66" s="618" t="s">
        <v>33</v>
      </c>
      <c r="K66" s="618" t="s">
        <v>34</v>
      </c>
    </row>
    <row r="67" spans="1:11" ht="18" customHeight="1" x14ac:dyDescent="0.2">
      <c r="A67" s="604" t="s">
        <v>102</v>
      </c>
      <c r="B67" s="421" t="s">
        <v>12</v>
      </c>
      <c r="F67" s="480"/>
      <c r="G67" s="480"/>
      <c r="H67" s="274"/>
      <c r="I67" s="274"/>
      <c r="J67" s="274"/>
      <c r="K67" s="274"/>
    </row>
    <row r="68" spans="1:11" ht="18" customHeight="1" x14ac:dyDescent="0.2">
      <c r="A68" s="605" t="s">
        <v>103</v>
      </c>
      <c r="B68" s="259" t="s">
        <v>52</v>
      </c>
      <c r="F68" s="122"/>
      <c r="G68" s="122"/>
      <c r="H68" s="270"/>
      <c r="I68" s="271">
        <v>0</v>
      </c>
      <c r="J68" s="270"/>
      <c r="K68" s="270">
        <f>(H68+I68)-J68</f>
        <v>0</v>
      </c>
    </row>
    <row r="69" spans="1:11" ht="18" customHeight="1" x14ac:dyDescent="0.2">
      <c r="A69" s="605" t="s">
        <v>104</v>
      </c>
      <c r="B69" s="419" t="s">
        <v>53</v>
      </c>
      <c r="F69" s="122"/>
      <c r="G69" s="122"/>
      <c r="H69" s="270"/>
      <c r="I69" s="271">
        <v>0</v>
      </c>
      <c r="J69" s="270"/>
      <c r="K69" s="270">
        <f>(H69+I69)-J69</f>
        <v>0</v>
      </c>
    </row>
    <row r="70" spans="1:11" ht="18" customHeight="1" x14ac:dyDescent="0.2">
      <c r="A70" s="605" t="s">
        <v>178</v>
      </c>
      <c r="B70" s="420"/>
      <c r="C70" s="414"/>
      <c r="D70" s="415"/>
      <c r="E70" s="421"/>
      <c r="F70" s="422"/>
      <c r="G70" s="422"/>
      <c r="H70" s="619"/>
      <c r="I70" s="271">
        <v>0</v>
      </c>
      <c r="J70" s="619"/>
      <c r="K70" s="270">
        <f>(H70+I70)-J70</f>
        <v>0</v>
      </c>
    </row>
    <row r="71" spans="1:11" ht="18" customHeight="1" x14ac:dyDescent="0.2">
      <c r="A71" s="605" t="s">
        <v>179</v>
      </c>
      <c r="B71" s="420"/>
      <c r="C71" s="414"/>
      <c r="D71" s="415"/>
      <c r="E71" s="421"/>
      <c r="F71" s="422"/>
      <c r="G71" s="422"/>
      <c r="H71" s="619"/>
      <c r="I71" s="271">
        <v>0</v>
      </c>
      <c r="J71" s="619"/>
      <c r="K71" s="270">
        <f>(H71+I71)-J71</f>
        <v>0</v>
      </c>
    </row>
    <row r="72" spans="1:11" ht="18" customHeight="1" x14ac:dyDescent="0.2">
      <c r="A72" s="605" t="s">
        <v>180</v>
      </c>
      <c r="B72" s="424"/>
      <c r="C72" s="425"/>
      <c r="D72" s="426"/>
      <c r="E72" s="421"/>
      <c r="F72" s="221"/>
      <c r="G72" s="221"/>
      <c r="H72" s="270"/>
      <c r="I72" s="271">
        <v>0</v>
      </c>
      <c r="J72" s="270"/>
      <c r="K72" s="270">
        <f>(H72+I72)-J72</f>
        <v>0</v>
      </c>
    </row>
    <row r="73" spans="1:11" ht="18" customHeight="1" x14ac:dyDescent="0.2">
      <c r="A73" s="605"/>
      <c r="B73" s="419"/>
      <c r="E73" s="421"/>
      <c r="F73" s="427"/>
      <c r="G73" s="427"/>
      <c r="H73" s="274"/>
      <c r="I73" s="274"/>
      <c r="J73" s="274"/>
      <c r="K73" s="274"/>
    </row>
    <row r="74" spans="1:11" ht="18" customHeight="1" x14ac:dyDescent="0.2">
      <c r="A74" s="604" t="s">
        <v>146</v>
      </c>
      <c r="B74" s="421" t="s">
        <v>147</v>
      </c>
      <c r="E74" s="421" t="s">
        <v>7</v>
      </c>
      <c r="F74" s="122">
        <f t="shared" ref="F74:K74" si="6">SUM(F68:F72)</f>
        <v>0</v>
      </c>
      <c r="G74" s="122">
        <f t="shared" si="6"/>
        <v>0</v>
      </c>
      <c r="H74" s="270">
        <f t="shared" si="6"/>
        <v>0</v>
      </c>
      <c r="I74" s="271">
        <f t="shared" si="6"/>
        <v>0</v>
      </c>
      <c r="J74" s="270">
        <f t="shared" si="6"/>
        <v>0</v>
      </c>
      <c r="K74" s="270">
        <f t="shared" si="6"/>
        <v>0</v>
      </c>
    </row>
    <row r="75" spans="1:11" ht="42.75" customHeight="1" x14ac:dyDescent="0.2">
      <c r="F75" s="454" t="s">
        <v>9</v>
      </c>
      <c r="G75" s="454" t="s">
        <v>37</v>
      </c>
      <c r="H75" s="603" t="s">
        <v>29</v>
      </c>
      <c r="I75" s="603" t="s">
        <v>30</v>
      </c>
      <c r="J75" s="603" t="s">
        <v>33</v>
      </c>
      <c r="K75" s="603" t="s">
        <v>34</v>
      </c>
    </row>
    <row r="76" spans="1:11" ht="18" customHeight="1" x14ac:dyDescent="0.2">
      <c r="A76" s="604" t="s">
        <v>105</v>
      </c>
      <c r="B76" s="421" t="s">
        <v>106</v>
      </c>
    </row>
    <row r="77" spans="1:11" ht="18" customHeight="1" x14ac:dyDescent="0.2">
      <c r="A77" s="605" t="s">
        <v>107</v>
      </c>
      <c r="B77" s="419" t="s">
        <v>54</v>
      </c>
      <c r="F77" s="221"/>
      <c r="G77" s="221"/>
      <c r="H77" s="221"/>
      <c r="I77" s="221"/>
      <c r="J77" s="221"/>
      <c r="K77" s="270">
        <f>(H77+I77)-J77</f>
        <v>0</v>
      </c>
    </row>
    <row r="78" spans="1:11" ht="18" customHeight="1" x14ac:dyDescent="0.2">
      <c r="A78" s="605" t="s">
        <v>108</v>
      </c>
      <c r="B78" s="419" t="s">
        <v>55</v>
      </c>
      <c r="F78" s="221"/>
      <c r="G78" s="221"/>
      <c r="H78" s="270"/>
      <c r="I78" s="271">
        <v>0</v>
      </c>
      <c r="J78" s="270"/>
      <c r="K78" s="270">
        <f>(H78+I78)-J78</f>
        <v>0</v>
      </c>
    </row>
    <row r="79" spans="1:11" ht="18" customHeight="1" x14ac:dyDescent="0.2">
      <c r="A79" s="605" t="s">
        <v>109</v>
      </c>
      <c r="B79" s="419" t="s">
        <v>13</v>
      </c>
      <c r="F79" s="221"/>
      <c r="G79" s="221"/>
      <c r="H79" s="270"/>
      <c r="I79" s="271">
        <v>0</v>
      </c>
      <c r="J79" s="270"/>
      <c r="K79" s="270">
        <f>(H79+I79)-J79</f>
        <v>0</v>
      </c>
    </row>
    <row r="80" spans="1:11" ht="18" customHeight="1" x14ac:dyDescent="0.2">
      <c r="A80" s="605" t="s">
        <v>110</v>
      </c>
      <c r="B80" s="419" t="s">
        <v>56</v>
      </c>
      <c r="F80" s="221"/>
      <c r="G80" s="221"/>
      <c r="H80" s="270"/>
      <c r="I80" s="271">
        <v>0</v>
      </c>
      <c r="J80" s="270"/>
      <c r="K80" s="270">
        <f>(H80+I80)-J80</f>
        <v>0</v>
      </c>
    </row>
    <row r="81" spans="1:11" ht="18" customHeight="1" x14ac:dyDescent="0.2">
      <c r="A81" s="605"/>
      <c r="K81" s="620"/>
    </row>
    <row r="82" spans="1:11" ht="18" customHeight="1" x14ac:dyDescent="0.2">
      <c r="A82" s="605" t="s">
        <v>148</v>
      </c>
      <c r="B82" s="421" t="s">
        <v>149</v>
      </c>
      <c r="E82" s="421" t="s">
        <v>7</v>
      </c>
      <c r="F82" s="122">
        <f t="shared" ref="F82:K82" si="7">SUM(F77:F80)</f>
        <v>0</v>
      </c>
      <c r="G82" s="122">
        <f t="shared" si="7"/>
        <v>0</v>
      </c>
      <c r="H82" s="270">
        <f t="shared" si="7"/>
        <v>0</v>
      </c>
      <c r="I82" s="270">
        <f t="shared" si="7"/>
        <v>0</v>
      </c>
      <c r="J82" s="270">
        <f t="shared" si="7"/>
        <v>0</v>
      </c>
      <c r="K82" s="270">
        <f t="shared" si="7"/>
        <v>0</v>
      </c>
    </row>
    <row r="83" spans="1:11" ht="18" customHeight="1" thickBot="1" x14ac:dyDescent="0.25">
      <c r="A83" s="605"/>
      <c r="F83" s="469"/>
      <c r="G83" s="469"/>
      <c r="H83" s="609"/>
      <c r="I83" s="609"/>
      <c r="J83" s="609"/>
      <c r="K83" s="609"/>
    </row>
    <row r="84" spans="1:11" ht="42.75" customHeight="1" x14ac:dyDescent="0.2">
      <c r="F84" s="454" t="s">
        <v>9</v>
      </c>
      <c r="G84" s="454" t="s">
        <v>37</v>
      </c>
      <c r="H84" s="603" t="s">
        <v>29</v>
      </c>
      <c r="I84" s="603" t="s">
        <v>30</v>
      </c>
      <c r="J84" s="603" t="s">
        <v>33</v>
      </c>
      <c r="K84" s="603" t="s">
        <v>34</v>
      </c>
    </row>
    <row r="85" spans="1:11" ht="18" customHeight="1" x14ac:dyDescent="0.2">
      <c r="A85" s="604" t="s">
        <v>111</v>
      </c>
      <c r="B85" s="421" t="s">
        <v>57</v>
      </c>
    </row>
    <row r="86" spans="1:11" ht="18" customHeight="1" x14ac:dyDescent="0.2">
      <c r="A86" s="605" t="s">
        <v>112</v>
      </c>
      <c r="B86" s="419" t="s">
        <v>113</v>
      </c>
      <c r="F86" s="221"/>
      <c r="G86" s="221"/>
      <c r="H86" s="270"/>
      <c r="I86" s="271"/>
      <c r="J86" s="270"/>
      <c r="K86" s="270">
        <f t="shared" ref="K86:K96" si="8">(H86+I86)-J86</f>
        <v>0</v>
      </c>
    </row>
    <row r="87" spans="1:11" ht="18" customHeight="1" x14ac:dyDescent="0.2">
      <c r="A87" s="605" t="s">
        <v>114</v>
      </c>
      <c r="B87" s="419" t="s">
        <v>14</v>
      </c>
      <c r="F87" s="221"/>
      <c r="G87" s="221"/>
      <c r="H87" s="221"/>
      <c r="I87" s="221"/>
      <c r="J87" s="221"/>
      <c r="K87" s="270">
        <f t="shared" si="8"/>
        <v>0</v>
      </c>
    </row>
    <row r="88" spans="1:11" ht="18" customHeight="1" x14ac:dyDescent="0.2">
      <c r="A88" s="605" t="s">
        <v>115</v>
      </c>
      <c r="B88" s="419" t="s">
        <v>116</v>
      </c>
      <c r="F88" s="221">
        <v>10</v>
      </c>
      <c r="G88" s="221">
        <v>0</v>
      </c>
      <c r="H88" s="221">
        <v>371.52201283871761</v>
      </c>
      <c r="I88" s="221">
        <v>150.10366532683346</v>
      </c>
      <c r="J88" s="221">
        <v>0</v>
      </c>
      <c r="K88" s="270">
        <f t="shared" si="8"/>
        <v>521.62567816555111</v>
      </c>
    </row>
    <row r="89" spans="1:11" ht="18" customHeight="1" x14ac:dyDescent="0.2">
      <c r="A89" s="605" t="s">
        <v>117</v>
      </c>
      <c r="B89" s="419" t="s">
        <v>58</v>
      </c>
      <c r="F89" s="221"/>
      <c r="G89" s="221"/>
      <c r="H89" s="221"/>
      <c r="I89" s="221"/>
      <c r="J89" s="221"/>
      <c r="K89" s="270">
        <f t="shared" si="8"/>
        <v>0</v>
      </c>
    </row>
    <row r="90" spans="1:11" ht="18" customHeight="1" x14ac:dyDescent="0.2">
      <c r="A90" s="605" t="s">
        <v>118</v>
      </c>
      <c r="B90" s="465" t="s">
        <v>59</v>
      </c>
      <c r="C90" s="466"/>
      <c r="F90" s="221"/>
      <c r="G90" s="221"/>
      <c r="H90" s="221"/>
      <c r="I90" s="221"/>
      <c r="J90" s="221"/>
      <c r="K90" s="270">
        <f t="shared" si="8"/>
        <v>0</v>
      </c>
    </row>
    <row r="91" spans="1:11" ht="18" customHeight="1" x14ac:dyDescent="0.2">
      <c r="A91" s="605" t="s">
        <v>119</v>
      </c>
      <c r="B91" s="419" t="s">
        <v>60</v>
      </c>
      <c r="F91" s="221">
        <v>269</v>
      </c>
      <c r="G91" s="221">
        <v>0</v>
      </c>
      <c r="H91" s="221">
        <v>11793.942145361503</v>
      </c>
      <c r="I91" s="221">
        <v>4765.031097739813</v>
      </c>
      <c r="J91" s="221">
        <v>0</v>
      </c>
      <c r="K91" s="270">
        <f t="shared" si="8"/>
        <v>16558.973243101318</v>
      </c>
    </row>
    <row r="92" spans="1:11" ht="18" customHeight="1" x14ac:dyDescent="0.2">
      <c r="A92" s="605" t="s">
        <v>120</v>
      </c>
      <c r="B92" s="419" t="s">
        <v>121</v>
      </c>
      <c r="F92" s="221">
        <v>0</v>
      </c>
      <c r="G92" s="221">
        <v>0</v>
      </c>
      <c r="H92" s="221">
        <v>2500</v>
      </c>
      <c r="I92" s="221">
        <v>1010.0590283999899</v>
      </c>
      <c r="J92" s="221">
        <v>0</v>
      </c>
      <c r="K92" s="270">
        <f t="shared" si="8"/>
        <v>3510.05902839999</v>
      </c>
    </row>
    <row r="93" spans="1:11" ht="18" customHeight="1" x14ac:dyDescent="0.2">
      <c r="A93" s="605" t="s">
        <v>122</v>
      </c>
      <c r="B93" s="419" t="s">
        <v>123</v>
      </c>
      <c r="F93" s="221"/>
      <c r="G93" s="221"/>
      <c r="H93" s="221"/>
      <c r="I93" s="221"/>
      <c r="J93" s="221"/>
      <c r="K93" s="270">
        <f t="shared" si="8"/>
        <v>0</v>
      </c>
    </row>
    <row r="94" spans="1:11" ht="18" customHeight="1" x14ac:dyDescent="0.2">
      <c r="A94" s="605" t="s">
        <v>124</v>
      </c>
      <c r="B94" s="418"/>
      <c r="C94" s="417"/>
      <c r="D94" s="412"/>
      <c r="F94" s="221"/>
      <c r="G94" s="221"/>
      <c r="H94" s="270"/>
      <c r="I94" s="271"/>
      <c r="J94" s="270"/>
      <c r="K94" s="270">
        <f t="shared" si="8"/>
        <v>0</v>
      </c>
    </row>
    <row r="95" spans="1:11" ht="18" customHeight="1" x14ac:dyDescent="0.2">
      <c r="A95" s="605" t="s">
        <v>125</v>
      </c>
      <c r="B95" s="418"/>
      <c r="C95" s="417"/>
      <c r="D95" s="412"/>
      <c r="F95" s="221"/>
      <c r="G95" s="221"/>
      <c r="H95" s="270"/>
      <c r="I95" s="271"/>
      <c r="J95" s="270"/>
      <c r="K95" s="270">
        <f t="shared" si="8"/>
        <v>0</v>
      </c>
    </row>
    <row r="96" spans="1:11" ht="18" customHeight="1" x14ac:dyDescent="0.2">
      <c r="A96" s="605" t="s">
        <v>126</v>
      </c>
      <c r="B96" s="418"/>
      <c r="C96" s="417"/>
      <c r="D96" s="412"/>
      <c r="F96" s="221"/>
      <c r="G96" s="221"/>
      <c r="H96" s="270"/>
      <c r="I96" s="271"/>
      <c r="J96" s="270"/>
      <c r="K96" s="270">
        <f t="shared" si="8"/>
        <v>0</v>
      </c>
    </row>
    <row r="97" spans="1:13" ht="18" customHeight="1" x14ac:dyDescent="0.2">
      <c r="A97" s="605"/>
      <c r="B97" s="419"/>
    </row>
    <row r="98" spans="1:13" ht="18" customHeight="1" x14ac:dyDescent="0.2">
      <c r="A98" s="604" t="s">
        <v>150</v>
      </c>
      <c r="B98" s="421" t="s">
        <v>151</v>
      </c>
      <c r="E98" s="421" t="s">
        <v>7</v>
      </c>
      <c r="F98" s="221">
        <f t="shared" ref="F98:K98" si="9">SUM(F86:F96)</f>
        <v>279</v>
      </c>
      <c r="G98" s="221">
        <f t="shared" si="9"/>
        <v>0</v>
      </c>
      <c r="H98" s="270">
        <f t="shared" si="9"/>
        <v>14665.46415820022</v>
      </c>
      <c r="I98" s="270">
        <f t="shared" si="9"/>
        <v>5925.1937914666369</v>
      </c>
      <c r="J98" s="270">
        <f t="shared" si="9"/>
        <v>0</v>
      </c>
      <c r="K98" s="270">
        <f t="shared" si="9"/>
        <v>20590.657949666856</v>
      </c>
    </row>
    <row r="99" spans="1:13" ht="18" customHeight="1" thickBot="1" x14ac:dyDescent="0.25">
      <c r="B99" s="421"/>
      <c r="F99" s="469"/>
      <c r="G99" s="469"/>
      <c r="H99" s="609"/>
      <c r="I99" s="609"/>
      <c r="J99" s="609"/>
      <c r="K99" s="609"/>
    </row>
    <row r="100" spans="1:13" ht="42.75" customHeight="1" x14ac:dyDescent="0.2">
      <c r="F100" s="454" t="s">
        <v>9</v>
      </c>
      <c r="G100" s="454" t="s">
        <v>37</v>
      </c>
      <c r="H100" s="603" t="s">
        <v>29</v>
      </c>
      <c r="I100" s="603" t="s">
        <v>30</v>
      </c>
      <c r="J100" s="603" t="s">
        <v>33</v>
      </c>
      <c r="K100" s="603" t="s">
        <v>34</v>
      </c>
    </row>
    <row r="101" spans="1:13" ht="18" customHeight="1" x14ac:dyDescent="0.2">
      <c r="A101" s="604" t="s">
        <v>130</v>
      </c>
      <c r="B101" s="421" t="s">
        <v>63</v>
      </c>
    </row>
    <row r="102" spans="1:13" ht="18" customHeight="1" x14ac:dyDescent="0.2">
      <c r="A102" s="605" t="s">
        <v>131</v>
      </c>
      <c r="B102" s="419" t="s">
        <v>152</v>
      </c>
      <c r="F102" s="221">
        <v>460</v>
      </c>
      <c r="G102" s="221">
        <v>0</v>
      </c>
      <c r="H102" s="221">
        <v>19319.144667613316</v>
      </c>
      <c r="I102" s="221">
        <v>7805.3905969953403</v>
      </c>
      <c r="J102" s="221">
        <v>0</v>
      </c>
      <c r="K102" s="221">
        <v>27124.535264608658</v>
      </c>
    </row>
    <row r="103" spans="1:13" ht="18" customHeight="1" x14ac:dyDescent="0.2">
      <c r="A103" s="605" t="s">
        <v>132</v>
      </c>
      <c r="B103" s="465" t="s">
        <v>62</v>
      </c>
      <c r="C103" s="465"/>
      <c r="F103" s="221">
        <v>1000</v>
      </c>
      <c r="G103" s="221">
        <v>0</v>
      </c>
      <c r="H103" s="221">
        <v>37152.201283871764</v>
      </c>
      <c r="I103" s="221">
        <v>15010.366532683347</v>
      </c>
      <c r="J103" s="221">
        <v>0</v>
      </c>
      <c r="K103" s="221">
        <v>52162.567816555107</v>
      </c>
    </row>
    <row r="104" spans="1:13" ht="18" customHeight="1" x14ac:dyDescent="0.2">
      <c r="A104" s="605" t="s">
        <v>128</v>
      </c>
      <c r="B104" s="418"/>
      <c r="C104" s="417"/>
      <c r="D104" s="412"/>
      <c r="F104" s="221"/>
      <c r="G104" s="221"/>
      <c r="H104" s="270"/>
      <c r="I104" s="271"/>
      <c r="J104" s="270"/>
      <c r="K104" s="270"/>
    </row>
    <row r="105" spans="1:13" ht="18" customHeight="1" x14ac:dyDescent="0.2">
      <c r="A105" s="605" t="s">
        <v>127</v>
      </c>
      <c r="B105" s="418"/>
      <c r="C105" s="417"/>
      <c r="D105" s="412"/>
      <c r="F105" s="221"/>
      <c r="G105" s="221"/>
      <c r="H105" s="270"/>
      <c r="I105" s="271"/>
      <c r="J105" s="270"/>
      <c r="K105" s="270"/>
    </row>
    <row r="106" spans="1:13" ht="18" customHeight="1" x14ac:dyDescent="0.2">
      <c r="A106" s="605" t="s">
        <v>129</v>
      </c>
      <c r="B106" s="418"/>
      <c r="C106" s="417"/>
      <c r="D106" s="412"/>
      <c r="F106" s="221"/>
      <c r="G106" s="221"/>
      <c r="H106" s="270"/>
      <c r="I106" s="271"/>
      <c r="J106" s="270"/>
      <c r="K106" s="270"/>
    </row>
    <row r="107" spans="1:13" ht="18" customHeight="1" x14ac:dyDescent="0.2">
      <c r="B107" s="421"/>
    </row>
    <row r="108" spans="1:13" s="468" customFormat="1" ht="18" customHeight="1" x14ac:dyDescent="0.2">
      <c r="A108" s="604" t="s">
        <v>153</v>
      </c>
      <c r="B108" s="481" t="s">
        <v>154</v>
      </c>
      <c r="C108" s="259"/>
      <c r="D108" s="259"/>
      <c r="E108" s="421" t="s">
        <v>7</v>
      </c>
      <c r="F108" s="221">
        <f t="shared" ref="F108:K108" si="10">SUM(F102:F106)</f>
        <v>1460</v>
      </c>
      <c r="G108" s="221">
        <f t="shared" si="10"/>
        <v>0</v>
      </c>
      <c r="H108" s="270">
        <f t="shared" si="10"/>
        <v>56471.345951485084</v>
      </c>
      <c r="I108" s="270">
        <f t="shared" si="10"/>
        <v>22815.757129678688</v>
      </c>
      <c r="J108" s="270">
        <f t="shared" si="10"/>
        <v>0</v>
      </c>
      <c r="K108" s="270">
        <f t="shared" si="10"/>
        <v>79287.103081163761</v>
      </c>
      <c r="M108" s="621"/>
    </row>
    <row r="109" spans="1:13" s="468" customFormat="1" ht="18" customHeight="1" thickBot="1" x14ac:dyDescent="0.25">
      <c r="A109" s="622"/>
      <c r="B109" s="483"/>
      <c r="C109" s="484"/>
      <c r="D109" s="484"/>
      <c r="E109" s="484"/>
      <c r="F109" s="469"/>
      <c r="G109" s="469"/>
      <c r="H109" s="609"/>
      <c r="I109" s="609"/>
      <c r="J109" s="609"/>
      <c r="K109" s="609"/>
      <c r="M109" s="621"/>
    </row>
    <row r="110" spans="1:13" s="468" customFormat="1" ht="18" customHeight="1" x14ac:dyDescent="0.2">
      <c r="A110" s="604" t="s">
        <v>156</v>
      </c>
      <c r="B110" s="421" t="s">
        <v>39</v>
      </c>
      <c r="C110" s="259"/>
      <c r="D110" s="259"/>
      <c r="E110" s="259"/>
      <c r="F110" s="259"/>
      <c r="G110" s="259"/>
      <c r="H110" s="601"/>
      <c r="I110" s="601"/>
      <c r="J110" s="601"/>
      <c r="K110" s="601"/>
      <c r="M110" s="621"/>
    </row>
    <row r="111" spans="1:13" ht="18" customHeight="1" x14ac:dyDescent="0.2">
      <c r="A111" s="604" t="s">
        <v>155</v>
      </c>
      <c r="B111" s="421" t="s">
        <v>164</v>
      </c>
      <c r="E111" s="421" t="s">
        <v>7</v>
      </c>
      <c r="F111" s="270">
        <v>704387</v>
      </c>
    </row>
    <row r="112" spans="1:13" ht="18" customHeight="1" x14ac:dyDescent="0.2">
      <c r="B112" s="421"/>
      <c r="E112" s="421"/>
      <c r="F112" s="258"/>
    </row>
    <row r="113" spans="1:7" ht="18" customHeight="1" x14ac:dyDescent="0.2">
      <c r="A113" s="604"/>
      <c r="B113" s="421" t="s">
        <v>15</v>
      </c>
    </row>
    <row r="114" spans="1:7" ht="18" customHeight="1" x14ac:dyDescent="0.2">
      <c r="A114" s="605" t="s">
        <v>171</v>
      </c>
      <c r="B114" s="419" t="s">
        <v>35</v>
      </c>
      <c r="F114" s="260">
        <v>0.62607713878472837</v>
      </c>
    </row>
    <row r="115" spans="1:7" ht="18" customHeight="1" x14ac:dyDescent="0.2">
      <c r="A115" s="605"/>
      <c r="B115" s="421"/>
    </row>
    <row r="116" spans="1:7" ht="18" customHeight="1" x14ac:dyDescent="0.2">
      <c r="A116" s="605" t="s">
        <v>170</v>
      </c>
      <c r="B116" s="421" t="s">
        <v>16</v>
      </c>
    </row>
    <row r="117" spans="1:7" ht="18" customHeight="1" x14ac:dyDescent="0.2">
      <c r="A117" s="605" t="s">
        <v>172</v>
      </c>
      <c r="B117" s="419" t="s">
        <v>17</v>
      </c>
      <c r="F117" s="103">
        <v>44129413</v>
      </c>
      <c r="G117" s="614"/>
    </row>
    <row r="118" spans="1:7" ht="18" customHeight="1" x14ac:dyDescent="0.2">
      <c r="A118" s="605" t="s">
        <v>173</v>
      </c>
      <c r="B118" s="259" t="s">
        <v>18</v>
      </c>
      <c r="F118" s="103">
        <v>287634</v>
      </c>
    </row>
    <row r="119" spans="1:7" ht="18" customHeight="1" x14ac:dyDescent="0.2">
      <c r="A119" s="605" t="s">
        <v>174</v>
      </c>
      <c r="B119" s="421" t="s">
        <v>19</v>
      </c>
      <c r="F119" s="103">
        <f>SUM(F117:F118)</f>
        <v>44417047</v>
      </c>
    </row>
    <row r="120" spans="1:7" ht="18" customHeight="1" x14ac:dyDescent="0.2">
      <c r="A120" s="605"/>
      <c r="B120" s="421"/>
      <c r="F120" s="261"/>
    </row>
    <row r="121" spans="1:7" ht="18" customHeight="1" x14ac:dyDescent="0.2">
      <c r="A121" s="605" t="s">
        <v>167</v>
      </c>
      <c r="B121" s="421" t="s">
        <v>36</v>
      </c>
      <c r="F121" s="103">
        <v>40094942.799999997</v>
      </c>
    </row>
    <row r="122" spans="1:7" ht="18" customHeight="1" x14ac:dyDescent="0.2">
      <c r="A122" s="605"/>
      <c r="F122" s="261"/>
    </row>
    <row r="123" spans="1:7" ht="18" customHeight="1" x14ac:dyDescent="0.2">
      <c r="A123" s="605" t="s">
        <v>175</v>
      </c>
      <c r="B123" s="421" t="s">
        <v>20</v>
      </c>
      <c r="F123" s="103">
        <f>-F121+F119</f>
        <v>4322104.200000003</v>
      </c>
    </row>
    <row r="124" spans="1:7" ht="18" customHeight="1" x14ac:dyDescent="0.2">
      <c r="A124" s="605"/>
      <c r="F124" s="261"/>
    </row>
    <row r="125" spans="1:7" ht="18" customHeight="1" x14ac:dyDescent="0.2">
      <c r="A125" s="605" t="s">
        <v>176</v>
      </c>
      <c r="B125" s="421" t="s">
        <v>21</v>
      </c>
      <c r="F125" s="103">
        <v>-147090.29999999996</v>
      </c>
    </row>
    <row r="126" spans="1:7" ht="18" customHeight="1" x14ac:dyDescent="0.2">
      <c r="A126" s="605"/>
      <c r="F126" s="261"/>
    </row>
    <row r="127" spans="1:7" ht="18" customHeight="1" x14ac:dyDescent="0.2">
      <c r="A127" s="605" t="s">
        <v>177</v>
      </c>
      <c r="B127" s="421" t="s">
        <v>22</v>
      </c>
      <c r="F127" s="103">
        <f>+F123+F125</f>
        <v>4175013.9000000032</v>
      </c>
    </row>
    <row r="128" spans="1:7" ht="18" customHeight="1" x14ac:dyDescent="0.2">
      <c r="A128" s="605"/>
    </row>
    <row r="129" spans="1:13" ht="42.75" customHeight="1" x14ac:dyDescent="0.2">
      <c r="F129" s="454" t="s">
        <v>9</v>
      </c>
      <c r="G129" s="454" t="s">
        <v>37</v>
      </c>
      <c r="H129" s="603" t="s">
        <v>29</v>
      </c>
      <c r="I129" s="603" t="s">
        <v>30</v>
      </c>
      <c r="J129" s="603" t="s">
        <v>33</v>
      </c>
      <c r="K129" s="603" t="s">
        <v>34</v>
      </c>
    </row>
    <row r="130" spans="1:13" ht="18" customHeight="1" x14ac:dyDescent="0.2">
      <c r="A130" s="604" t="s">
        <v>157</v>
      </c>
      <c r="B130" s="421" t="s">
        <v>23</v>
      </c>
    </row>
    <row r="131" spans="1:13" ht="18" customHeight="1" x14ac:dyDescent="0.2">
      <c r="A131" s="605" t="s">
        <v>158</v>
      </c>
      <c r="B131" s="259" t="s">
        <v>24</v>
      </c>
      <c r="F131" s="221"/>
      <c r="G131" s="221"/>
      <c r="H131" s="270"/>
      <c r="I131" s="271">
        <v>0</v>
      </c>
      <c r="J131" s="270"/>
      <c r="K131" s="270">
        <f>(H131+I131)-J131</f>
        <v>0</v>
      </c>
    </row>
    <row r="132" spans="1:13" ht="18" customHeight="1" x14ac:dyDescent="0.2">
      <c r="A132" s="605" t="s">
        <v>159</v>
      </c>
      <c r="B132" s="259" t="s">
        <v>25</v>
      </c>
      <c r="F132" s="221"/>
      <c r="G132" s="221"/>
      <c r="H132" s="270"/>
      <c r="I132" s="271">
        <v>0</v>
      </c>
      <c r="J132" s="270"/>
      <c r="K132" s="270">
        <f>(H132+I132)-J132</f>
        <v>0</v>
      </c>
    </row>
    <row r="133" spans="1:13" ht="18" customHeight="1" x14ac:dyDescent="0.2">
      <c r="A133" s="605" t="s">
        <v>160</v>
      </c>
      <c r="B133" s="456"/>
      <c r="C133" s="457"/>
      <c r="D133" s="458"/>
      <c r="F133" s="221"/>
      <c r="G133" s="221"/>
      <c r="H133" s="270"/>
      <c r="I133" s="271">
        <v>0</v>
      </c>
      <c r="J133" s="270"/>
      <c r="K133" s="270">
        <f>(H133+I133)-J133</f>
        <v>0</v>
      </c>
    </row>
    <row r="134" spans="1:13" ht="18" customHeight="1" x14ac:dyDescent="0.2">
      <c r="A134" s="605" t="s">
        <v>161</v>
      </c>
      <c r="B134" s="456"/>
      <c r="C134" s="457"/>
      <c r="D134" s="458"/>
      <c r="F134" s="221"/>
      <c r="G134" s="221"/>
      <c r="H134" s="270"/>
      <c r="I134" s="271">
        <v>0</v>
      </c>
      <c r="J134" s="270"/>
      <c r="K134" s="270">
        <f>(H134+I134)-J134</f>
        <v>0</v>
      </c>
    </row>
    <row r="135" spans="1:13" ht="18" customHeight="1" x14ac:dyDescent="0.2">
      <c r="A135" s="605" t="s">
        <v>162</v>
      </c>
      <c r="B135" s="456"/>
      <c r="C135" s="457"/>
      <c r="D135" s="458"/>
      <c r="F135" s="221"/>
      <c r="G135" s="221"/>
      <c r="H135" s="270"/>
      <c r="I135" s="271">
        <v>0</v>
      </c>
      <c r="J135" s="270"/>
      <c r="K135" s="270">
        <f>(H135+I135)-J135</f>
        <v>0</v>
      </c>
    </row>
    <row r="136" spans="1:13" ht="18" customHeight="1" x14ac:dyDescent="0.2">
      <c r="A136" s="604"/>
    </row>
    <row r="137" spans="1:13" ht="18" customHeight="1" x14ac:dyDescent="0.2">
      <c r="A137" s="604" t="s">
        <v>163</v>
      </c>
      <c r="B137" s="421" t="s">
        <v>27</v>
      </c>
      <c r="F137" s="221">
        <f t="shared" ref="F137:K137" si="11">SUM(F131:F135)</f>
        <v>0</v>
      </c>
      <c r="G137" s="221">
        <f t="shared" si="11"/>
        <v>0</v>
      </c>
      <c r="H137" s="270">
        <f t="shared" si="11"/>
        <v>0</v>
      </c>
      <c r="I137" s="270">
        <f t="shared" si="11"/>
        <v>0</v>
      </c>
      <c r="J137" s="270">
        <f t="shared" si="11"/>
        <v>0</v>
      </c>
      <c r="K137" s="270">
        <f t="shared" si="11"/>
        <v>0</v>
      </c>
    </row>
    <row r="138" spans="1:13" ht="18" customHeight="1" x14ac:dyDescent="0.2">
      <c r="A138" s="623"/>
    </row>
    <row r="139" spans="1:13" ht="42.75" customHeight="1" x14ac:dyDescent="0.2">
      <c r="F139" s="454" t="s">
        <v>9</v>
      </c>
      <c r="G139" s="454" t="s">
        <v>37</v>
      </c>
      <c r="H139" s="603" t="s">
        <v>29</v>
      </c>
      <c r="I139" s="603" t="s">
        <v>30</v>
      </c>
      <c r="J139" s="603" t="s">
        <v>33</v>
      </c>
      <c r="K139" s="603" t="s">
        <v>34</v>
      </c>
    </row>
    <row r="140" spans="1:13" ht="18" customHeight="1" x14ac:dyDescent="0.2">
      <c r="A140" s="604" t="s">
        <v>166</v>
      </c>
      <c r="B140" s="421" t="s">
        <v>26</v>
      </c>
    </row>
    <row r="141" spans="1:13" ht="18" customHeight="1" x14ac:dyDescent="0.25">
      <c r="A141" s="605" t="s">
        <v>137</v>
      </c>
      <c r="B141" s="421" t="s">
        <v>64</v>
      </c>
      <c r="F141" s="422">
        <f t="shared" ref="F141:K141" si="12">F36</f>
        <v>1039</v>
      </c>
      <c r="G141" s="422">
        <f t="shared" si="12"/>
        <v>1322</v>
      </c>
      <c r="H141" s="619">
        <f t="shared" si="12"/>
        <v>49186.137133942757</v>
      </c>
      <c r="I141" s="619">
        <f t="shared" si="12"/>
        <v>19872.360753703553</v>
      </c>
      <c r="J141" s="619">
        <f t="shared" si="12"/>
        <v>0</v>
      </c>
      <c r="K141" s="619">
        <f t="shared" si="12"/>
        <v>69058.497887646314</v>
      </c>
      <c r="M141" s="624"/>
    </row>
    <row r="142" spans="1:13" ht="18" customHeight="1" x14ac:dyDescent="0.25">
      <c r="A142" s="605" t="s">
        <v>142</v>
      </c>
      <c r="B142" s="421" t="s">
        <v>65</v>
      </c>
      <c r="F142" s="422">
        <f t="shared" ref="F142:K142" si="13">F49</f>
        <v>3358.3441573628124</v>
      </c>
      <c r="G142" s="422">
        <f t="shared" si="13"/>
        <v>112</v>
      </c>
      <c r="H142" s="619">
        <f t="shared" si="13"/>
        <v>122530.28437674412</v>
      </c>
      <c r="I142" s="619">
        <f t="shared" si="13"/>
        <v>3082.8150495959171</v>
      </c>
      <c r="J142" s="619">
        <f t="shared" si="13"/>
        <v>0</v>
      </c>
      <c r="K142" s="619">
        <f t="shared" si="13"/>
        <v>125613.09942634005</v>
      </c>
      <c r="M142" s="624"/>
    </row>
    <row r="143" spans="1:13" ht="18" customHeight="1" x14ac:dyDescent="0.25">
      <c r="A143" s="605" t="s">
        <v>144</v>
      </c>
      <c r="B143" s="421" t="s">
        <v>66</v>
      </c>
      <c r="F143" s="422">
        <f t="shared" ref="F143:K143" si="14">F64</f>
        <v>15480.816666666668</v>
      </c>
      <c r="G143" s="422">
        <f t="shared" si="14"/>
        <v>20998</v>
      </c>
      <c r="H143" s="619">
        <f t="shared" si="14"/>
        <v>6148076.1018685065</v>
      </c>
      <c r="I143" s="619">
        <f t="shared" si="14"/>
        <v>3077689.8428003057</v>
      </c>
      <c r="J143" s="619">
        <f t="shared" si="14"/>
        <v>42680</v>
      </c>
      <c r="K143" s="619">
        <f t="shared" si="14"/>
        <v>9183085.9546688125</v>
      </c>
      <c r="M143" s="624"/>
    </row>
    <row r="144" spans="1:13" ht="18" customHeight="1" x14ac:dyDescent="0.25">
      <c r="A144" s="605" t="s">
        <v>146</v>
      </c>
      <c r="B144" s="421" t="s">
        <v>67</v>
      </c>
      <c r="F144" s="422">
        <f t="shared" ref="F144:K144" si="15">F74</f>
        <v>0</v>
      </c>
      <c r="G144" s="422">
        <f t="shared" si="15"/>
        <v>0</v>
      </c>
      <c r="H144" s="619">
        <f t="shared" si="15"/>
        <v>0</v>
      </c>
      <c r="I144" s="619">
        <f t="shared" si="15"/>
        <v>0</v>
      </c>
      <c r="J144" s="619">
        <f t="shared" si="15"/>
        <v>0</v>
      </c>
      <c r="K144" s="619">
        <f t="shared" si="15"/>
        <v>0</v>
      </c>
      <c r="M144" s="624"/>
    </row>
    <row r="145" spans="1:13" ht="18" customHeight="1" x14ac:dyDescent="0.25">
      <c r="A145" s="605" t="s">
        <v>148</v>
      </c>
      <c r="B145" s="421" t="s">
        <v>68</v>
      </c>
      <c r="F145" s="422">
        <f t="shared" ref="F145:K145" si="16">F82</f>
        <v>0</v>
      </c>
      <c r="G145" s="422">
        <f t="shared" si="16"/>
        <v>0</v>
      </c>
      <c r="H145" s="619">
        <f t="shared" si="16"/>
        <v>0</v>
      </c>
      <c r="I145" s="619">
        <f t="shared" si="16"/>
        <v>0</v>
      </c>
      <c r="J145" s="619">
        <f t="shared" si="16"/>
        <v>0</v>
      </c>
      <c r="K145" s="619">
        <f t="shared" si="16"/>
        <v>0</v>
      </c>
      <c r="M145" s="624"/>
    </row>
    <row r="146" spans="1:13" ht="18" customHeight="1" x14ac:dyDescent="0.25">
      <c r="A146" s="605" t="s">
        <v>150</v>
      </c>
      <c r="B146" s="421" t="s">
        <v>69</v>
      </c>
      <c r="F146" s="422">
        <f t="shared" ref="F146:K146" si="17">F98</f>
        <v>279</v>
      </c>
      <c r="G146" s="422">
        <f t="shared" si="17"/>
        <v>0</v>
      </c>
      <c r="H146" s="619">
        <f t="shared" si="17"/>
        <v>14665.46415820022</v>
      </c>
      <c r="I146" s="619">
        <f t="shared" si="17"/>
        <v>5925.1937914666369</v>
      </c>
      <c r="J146" s="619">
        <f t="shared" si="17"/>
        <v>0</v>
      </c>
      <c r="K146" s="619">
        <f t="shared" si="17"/>
        <v>20590.657949666856</v>
      </c>
      <c r="M146" s="624"/>
    </row>
    <row r="147" spans="1:13" ht="18" customHeight="1" x14ac:dyDescent="0.25">
      <c r="A147" s="605" t="s">
        <v>153</v>
      </c>
      <c r="B147" s="421" t="s">
        <v>61</v>
      </c>
      <c r="F147" s="221">
        <f t="shared" ref="F147:K147" si="18">F108</f>
        <v>1460</v>
      </c>
      <c r="G147" s="221">
        <f t="shared" si="18"/>
        <v>0</v>
      </c>
      <c r="H147" s="270">
        <f t="shared" si="18"/>
        <v>56471.345951485084</v>
      </c>
      <c r="I147" s="270">
        <f t="shared" si="18"/>
        <v>22815.757129678688</v>
      </c>
      <c r="J147" s="270">
        <f t="shared" si="18"/>
        <v>0</v>
      </c>
      <c r="K147" s="270">
        <f t="shared" si="18"/>
        <v>79287.103081163761</v>
      </c>
      <c r="M147" s="624"/>
    </row>
    <row r="148" spans="1:13" ht="18" customHeight="1" x14ac:dyDescent="0.25">
      <c r="A148" s="605" t="s">
        <v>155</v>
      </c>
      <c r="B148" s="421" t="s">
        <v>70</v>
      </c>
      <c r="F148" s="485" t="s">
        <v>73</v>
      </c>
      <c r="G148" s="485" t="s">
        <v>73</v>
      </c>
      <c r="H148" s="625" t="s">
        <v>73</v>
      </c>
      <c r="I148" s="625" t="s">
        <v>73</v>
      </c>
      <c r="J148" s="625" t="s">
        <v>73</v>
      </c>
      <c r="K148" s="619">
        <f>F111</f>
        <v>704387</v>
      </c>
      <c r="M148" s="624"/>
    </row>
    <row r="149" spans="1:13" ht="18" customHeight="1" x14ac:dyDescent="0.25">
      <c r="A149" s="605" t="s">
        <v>163</v>
      </c>
      <c r="B149" s="421" t="s">
        <v>71</v>
      </c>
      <c r="F149" s="221">
        <f t="shared" ref="F149:K149" si="19">F137</f>
        <v>0</v>
      </c>
      <c r="G149" s="221">
        <f t="shared" si="19"/>
        <v>0</v>
      </c>
      <c r="H149" s="270">
        <f t="shared" si="19"/>
        <v>0</v>
      </c>
      <c r="I149" s="270">
        <f t="shared" si="19"/>
        <v>0</v>
      </c>
      <c r="J149" s="270">
        <f t="shared" si="19"/>
        <v>0</v>
      </c>
      <c r="K149" s="270">
        <f t="shared" si="19"/>
        <v>0</v>
      </c>
      <c r="M149" s="624"/>
    </row>
    <row r="150" spans="1:13" ht="18" customHeight="1" x14ac:dyDescent="0.25">
      <c r="A150" s="605" t="s">
        <v>185</v>
      </c>
      <c r="B150" s="421" t="s">
        <v>186</v>
      </c>
      <c r="F150" s="485" t="s">
        <v>73</v>
      </c>
      <c r="G150" s="485" t="s">
        <v>73</v>
      </c>
      <c r="H150" s="270">
        <f>H18</f>
        <v>1060681.3888266529</v>
      </c>
      <c r="I150" s="270">
        <f>I18</f>
        <v>0</v>
      </c>
      <c r="J150" s="270">
        <f>J18</f>
        <v>896485.07805756363</v>
      </c>
      <c r="K150" s="270">
        <f>K18</f>
        <v>164196.31076908926</v>
      </c>
      <c r="M150" s="624"/>
    </row>
    <row r="151" spans="1:13" ht="18" customHeight="1" x14ac:dyDescent="0.2">
      <c r="B151" s="421"/>
      <c r="F151" s="478"/>
      <c r="G151" s="478"/>
      <c r="H151" s="617"/>
      <c r="I151" s="617"/>
      <c r="J151" s="617"/>
      <c r="K151" s="617"/>
      <c r="M151" s="626"/>
    </row>
    <row r="152" spans="1:13" ht="18" customHeight="1" x14ac:dyDescent="0.25">
      <c r="A152" s="604" t="s">
        <v>165</v>
      </c>
      <c r="B152" s="421" t="s">
        <v>26</v>
      </c>
      <c r="F152" s="487">
        <f t="shared" ref="F152:K152" si="20">SUM(F141:F150)</f>
        <v>21617.160824029481</v>
      </c>
      <c r="G152" s="487">
        <f t="shared" si="20"/>
        <v>22432</v>
      </c>
      <c r="H152" s="627">
        <f t="shared" si="20"/>
        <v>7451610.7223155331</v>
      </c>
      <c r="I152" s="627">
        <f t="shared" si="20"/>
        <v>3129385.9695247505</v>
      </c>
      <c r="J152" s="627">
        <f t="shared" si="20"/>
        <v>939165.07805756363</v>
      </c>
      <c r="K152" s="627">
        <f t="shared" si="20"/>
        <v>10346218.623782719</v>
      </c>
      <c r="M152" s="624"/>
    </row>
    <row r="154" spans="1:13" ht="18" customHeight="1" x14ac:dyDescent="0.2">
      <c r="A154" s="604" t="s">
        <v>168</v>
      </c>
      <c r="B154" s="421" t="s">
        <v>28</v>
      </c>
      <c r="F154" s="140">
        <f>K152/F121</f>
        <v>0.25804298251256563</v>
      </c>
    </row>
    <row r="155" spans="1:13" ht="18" customHeight="1" x14ac:dyDescent="0.2">
      <c r="A155" s="604" t="s">
        <v>169</v>
      </c>
      <c r="B155" s="421" t="s">
        <v>72</v>
      </c>
      <c r="F155" s="140">
        <f>K152/F127</f>
        <v>2.4781279467794612</v>
      </c>
      <c r="G155" s="421"/>
    </row>
    <row r="156" spans="1:13" ht="18" customHeight="1" x14ac:dyDescent="0.2">
      <c r="G156" s="421"/>
    </row>
  </sheetData>
  <sheetProtection algorithmName="SHA-512" hashValue="l9jAl4DelXsbkl66itL2SGemfw+c6oBEoG47EXJsucsxIJahsmxLj9z29jJztKaBAjp/u7+Go5D6SHceCBR22Q==" saltValue="nqYyhf5WpRnOBlz+UXH0ig==" spinCount="100000" sheet="1" objects="1" scenarios="1"/>
  <mergeCells count="28">
    <mergeCell ref="B133:D133"/>
    <mergeCell ref="B134:D134"/>
    <mergeCell ref="B95:D95"/>
    <mergeCell ref="B96:D96"/>
    <mergeCell ref="B103:C103"/>
    <mergeCell ref="B104:D104"/>
    <mergeCell ref="B105:D105"/>
    <mergeCell ref="D2:H2"/>
    <mergeCell ref="C5:G5"/>
    <mergeCell ref="C6:G6"/>
    <mergeCell ref="B41:C41"/>
    <mergeCell ref="B44:D44"/>
    <mergeCell ref="B135:D135"/>
    <mergeCell ref="B90:C90"/>
    <mergeCell ref="B94:D94"/>
    <mergeCell ref="C7:G7"/>
    <mergeCell ref="C9:G9"/>
    <mergeCell ref="C10:G10"/>
    <mergeCell ref="C11:G11"/>
    <mergeCell ref="B13:H13"/>
    <mergeCell ref="B30:D30"/>
    <mergeCell ref="B31:D31"/>
    <mergeCell ref="B34:D34"/>
    <mergeCell ref="B45:D45"/>
    <mergeCell ref="B46:D46"/>
    <mergeCell ref="B47:D47"/>
    <mergeCell ref="B52:C52"/>
    <mergeCell ref="B106:D106"/>
  </mergeCells>
  <hyperlinks>
    <hyperlink ref="C11" r:id="rId1"/>
  </hyperlinks>
  <pageMargins left="0.75" right="0.75" top="1" bottom="1" header="0.5" footer="0.5"/>
  <pageSetup scale="59" fitToHeight="0" orientation="landscape" horizontalDpi="1200" verticalDpi="1200" r:id="rId2"/>
  <headerFooter alignWithMargins="0"/>
  <rowBreaks count="5" manualBreakCount="5">
    <brk id="37" max="16383" man="1"/>
    <brk id="65" max="16383" man="1"/>
    <brk id="83" max="16383" man="1"/>
    <brk id="109" max="16383" man="1"/>
    <brk id="1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56"/>
  <sheetViews>
    <sheetView showGridLines="0" zoomScale="80" zoomScaleNormal="80" zoomScaleSheetLayoutView="70" workbookViewId="0">
      <selection activeCell="B13" sqref="B13:H13"/>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89" t="s">
        <v>444</v>
      </c>
      <c r="D5" s="437"/>
      <c r="E5" s="437"/>
      <c r="F5" s="437"/>
      <c r="G5" s="438"/>
    </row>
    <row r="6" spans="1:11" ht="18" customHeight="1" x14ac:dyDescent="0.2">
      <c r="B6" s="435" t="s">
        <v>3</v>
      </c>
      <c r="C6" s="628" t="s">
        <v>495</v>
      </c>
      <c r="D6" s="440"/>
      <c r="E6" s="440"/>
      <c r="F6" s="440"/>
      <c r="G6" s="441"/>
    </row>
    <row r="7" spans="1:11" ht="18" customHeight="1" x14ac:dyDescent="0.2">
      <c r="B7" s="435" t="s">
        <v>4</v>
      </c>
      <c r="C7" s="492"/>
      <c r="D7" s="493"/>
      <c r="E7" s="493"/>
      <c r="F7" s="493"/>
      <c r="G7" s="494"/>
    </row>
    <row r="9" spans="1:11" ht="18" customHeight="1" x14ac:dyDescent="0.2">
      <c r="B9" s="435" t="s">
        <v>1</v>
      </c>
      <c r="C9" s="489" t="s">
        <v>445</v>
      </c>
      <c r="D9" s="437"/>
      <c r="E9" s="437"/>
      <c r="F9" s="437"/>
      <c r="G9" s="438"/>
    </row>
    <row r="10" spans="1:11" ht="18" customHeight="1" x14ac:dyDescent="0.2">
      <c r="B10" s="435" t="s">
        <v>2</v>
      </c>
      <c r="C10" s="490" t="s">
        <v>496</v>
      </c>
      <c r="D10" s="446"/>
      <c r="E10" s="446"/>
      <c r="F10" s="446"/>
      <c r="G10" s="447"/>
    </row>
    <row r="11" spans="1:11" ht="18" customHeight="1" x14ac:dyDescent="0.2">
      <c r="B11" s="435" t="s">
        <v>32</v>
      </c>
      <c r="C11" s="489" t="s">
        <v>545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9295390</v>
      </c>
      <c r="I18" s="133">
        <v>0</v>
      </c>
      <c r="J18" s="118">
        <v>7856439</v>
      </c>
      <c r="K18" s="118">
        <f>(H18+I18)-J18</f>
        <v>1438951</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c r="G21" s="221"/>
      <c r="H21" s="118"/>
      <c r="I21" s="133">
        <f t="shared" ref="I21:I34" si="0">H21*F$114</f>
        <v>0</v>
      </c>
      <c r="J21" s="118"/>
      <c r="K21" s="118">
        <f t="shared" ref="K21:K34" si="1">(H21+I21)-J21</f>
        <v>0</v>
      </c>
    </row>
    <row r="22" spans="1:11" ht="18" customHeight="1" x14ac:dyDescent="0.2">
      <c r="A22" s="435" t="s">
        <v>76</v>
      </c>
      <c r="B22" s="259" t="s">
        <v>6</v>
      </c>
      <c r="F22" s="221"/>
      <c r="G22" s="221">
        <v>25</v>
      </c>
      <c r="H22" s="118">
        <v>78147</v>
      </c>
      <c r="I22" s="133">
        <f t="shared" si="0"/>
        <v>51932.408312828426</v>
      </c>
      <c r="J22" s="118"/>
      <c r="K22" s="118">
        <f t="shared" si="1"/>
        <v>130079.40831282843</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c r="G25" s="221">
        <v>35</v>
      </c>
      <c r="H25" s="118">
        <v>22533</v>
      </c>
      <c r="I25" s="133">
        <f t="shared" si="0"/>
        <v>14974.253093694742</v>
      </c>
      <c r="J25" s="118"/>
      <c r="K25" s="118">
        <f t="shared" si="1"/>
        <v>37507.253093694744</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10355</v>
      </c>
      <c r="G29" s="221"/>
      <c r="H29" s="118">
        <v>705732</v>
      </c>
      <c r="I29" s="133">
        <f t="shared" si="0"/>
        <v>468992.57020012324</v>
      </c>
      <c r="J29" s="118">
        <v>26100</v>
      </c>
      <c r="K29" s="118">
        <f t="shared" si="1"/>
        <v>1148624.5702001234</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10355</v>
      </c>
      <c r="G36" s="221">
        <f t="shared" si="2"/>
        <v>60</v>
      </c>
      <c r="H36" s="221">
        <f t="shared" si="2"/>
        <v>806412</v>
      </c>
      <c r="I36" s="118">
        <f t="shared" si="2"/>
        <v>535899.23160664644</v>
      </c>
      <c r="J36" s="118">
        <f t="shared" si="2"/>
        <v>26100</v>
      </c>
      <c r="K36" s="118">
        <f t="shared" si="2"/>
        <v>1316211.2316066464</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182559</v>
      </c>
      <c r="G40" s="221"/>
      <c r="H40" s="118">
        <v>8013957</v>
      </c>
      <c r="I40" s="133">
        <v>0</v>
      </c>
      <c r="J40" s="118"/>
      <c r="K40" s="118">
        <f t="shared" ref="K40:K47" si="3">(H40+I40)-J40</f>
        <v>8013957</v>
      </c>
    </row>
    <row r="41" spans="1:11" ht="18" customHeight="1" x14ac:dyDescent="0.2">
      <c r="A41" s="435" t="s">
        <v>88</v>
      </c>
      <c r="B41" s="465" t="s">
        <v>50</v>
      </c>
      <c r="C41" s="466"/>
      <c r="F41" s="221"/>
      <c r="G41" s="221"/>
      <c r="H41" s="118"/>
      <c r="I41" s="133">
        <v>0</v>
      </c>
      <c r="J41" s="118"/>
      <c r="K41" s="118">
        <f t="shared" si="3"/>
        <v>0</v>
      </c>
    </row>
    <row r="42" spans="1:11" ht="18" customHeight="1" x14ac:dyDescent="0.2">
      <c r="A42" s="435" t="s">
        <v>89</v>
      </c>
      <c r="B42" s="419" t="s">
        <v>11</v>
      </c>
      <c r="F42" s="221"/>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182559</v>
      </c>
      <c r="G49" s="409">
        <f t="shared" si="4"/>
        <v>0</v>
      </c>
      <c r="H49" s="118">
        <f t="shared" si="4"/>
        <v>8013957</v>
      </c>
      <c r="I49" s="118">
        <f t="shared" si="4"/>
        <v>0</v>
      </c>
      <c r="J49" s="118">
        <f t="shared" si="4"/>
        <v>0</v>
      </c>
      <c r="K49" s="118">
        <f t="shared" si="4"/>
        <v>8013957</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349</v>
      </c>
      <c r="C53" s="411"/>
      <c r="D53" s="412"/>
      <c r="F53" s="221"/>
      <c r="G53" s="221"/>
      <c r="H53" s="118">
        <v>0</v>
      </c>
      <c r="I53" s="133">
        <f t="shared" ref="I53:I56" si="5">H53*F$114</f>
        <v>0</v>
      </c>
      <c r="J53" s="118"/>
      <c r="K53" s="118">
        <f t="shared" ref="K53:K62" si="6">(H53+I53)-J53</f>
        <v>0</v>
      </c>
    </row>
    <row r="54" spans="1:11" ht="18" customHeight="1" x14ac:dyDescent="0.2">
      <c r="A54" s="435" t="s">
        <v>93</v>
      </c>
      <c r="B54" s="420" t="s">
        <v>390</v>
      </c>
      <c r="C54" s="414"/>
      <c r="D54" s="415"/>
      <c r="F54" s="221"/>
      <c r="G54" s="221"/>
      <c r="H54" s="118">
        <v>166497</v>
      </c>
      <c r="I54" s="133">
        <f t="shared" si="5"/>
        <v>110645.19670442876</v>
      </c>
      <c r="J54" s="118">
        <v>76000</v>
      </c>
      <c r="K54" s="118">
        <f t="shared" si="6"/>
        <v>201142.19670442876</v>
      </c>
    </row>
    <row r="55" spans="1:11" ht="18" customHeight="1" x14ac:dyDescent="0.2">
      <c r="A55" s="435" t="s">
        <v>94</v>
      </c>
      <c r="B55" s="418" t="s">
        <v>350</v>
      </c>
      <c r="C55" s="417"/>
      <c r="D55" s="412"/>
      <c r="F55" s="221"/>
      <c r="G55" s="221"/>
      <c r="H55" s="118">
        <v>13191</v>
      </c>
      <c r="I55" s="133">
        <f t="shared" si="5"/>
        <v>8766.0485758189025</v>
      </c>
      <c r="J55" s="118"/>
      <c r="K55" s="118">
        <f t="shared" si="6"/>
        <v>21957.048575818902</v>
      </c>
    </row>
    <row r="56" spans="1:11" ht="18" customHeight="1" x14ac:dyDescent="0.2">
      <c r="A56" s="435" t="s">
        <v>95</v>
      </c>
      <c r="B56" s="418" t="s">
        <v>351</v>
      </c>
      <c r="C56" s="417"/>
      <c r="D56" s="412"/>
      <c r="F56" s="221">
        <v>4179</v>
      </c>
      <c r="G56" s="221">
        <v>1927</v>
      </c>
      <c r="H56" s="118">
        <v>1411169</v>
      </c>
      <c r="I56" s="133">
        <f t="shared" si="5"/>
        <v>937789.09883176291</v>
      </c>
      <c r="J56" s="118">
        <v>506482</v>
      </c>
      <c r="K56" s="118">
        <f t="shared" si="6"/>
        <v>1842476.098831763</v>
      </c>
    </row>
    <row r="57" spans="1:11" ht="18" customHeight="1" x14ac:dyDescent="0.2">
      <c r="A57" s="435" t="s">
        <v>96</v>
      </c>
      <c r="B57" s="418" t="s">
        <v>352</v>
      </c>
      <c r="C57" s="417"/>
      <c r="D57" s="412"/>
      <c r="F57" s="221"/>
      <c r="G57" s="221"/>
      <c r="H57" s="118">
        <v>2688524</v>
      </c>
      <c r="I57" s="133">
        <v>0</v>
      </c>
      <c r="J57" s="118"/>
      <c r="K57" s="118">
        <f t="shared" si="6"/>
        <v>2688524</v>
      </c>
    </row>
    <row r="58" spans="1:11" ht="18" customHeight="1" x14ac:dyDescent="0.2">
      <c r="A58" s="435" t="s">
        <v>97</v>
      </c>
      <c r="B58" s="413" t="s">
        <v>497</v>
      </c>
      <c r="C58" s="414"/>
      <c r="D58" s="415"/>
      <c r="F58" s="221"/>
      <c r="G58" s="221"/>
      <c r="H58" s="118">
        <v>11694282</v>
      </c>
      <c r="I58" s="133">
        <v>0</v>
      </c>
      <c r="J58" s="118">
        <v>6209923</v>
      </c>
      <c r="K58" s="118">
        <f t="shared" si="6"/>
        <v>5484359</v>
      </c>
    </row>
    <row r="59" spans="1:11" ht="18" customHeight="1" x14ac:dyDescent="0.2">
      <c r="A59" s="435" t="s">
        <v>98</v>
      </c>
      <c r="B59" s="416" t="s">
        <v>498</v>
      </c>
      <c r="C59" s="417"/>
      <c r="D59" s="412"/>
      <c r="F59" s="221"/>
      <c r="G59" s="221"/>
      <c r="H59" s="118">
        <v>10097034</v>
      </c>
      <c r="I59" s="133">
        <v>0</v>
      </c>
      <c r="J59" s="118">
        <v>5869961</v>
      </c>
      <c r="K59" s="118">
        <f t="shared" si="6"/>
        <v>4227073</v>
      </c>
    </row>
    <row r="60" spans="1:11" ht="18" customHeight="1" x14ac:dyDescent="0.2">
      <c r="A60" s="435" t="s">
        <v>99</v>
      </c>
      <c r="B60" s="413" t="s">
        <v>499</v>
      </c>
      <c r="C60" s="414"/>
      <c r="D60" s="415"/>
      <c r="F60" s="221"/>
      <c r="G60" s="221"/>
      <c r="H60" s="118">
        <v>1077316</v>
      </c>
      <c r="I60" s="133">
        <v>0</v>
      </c>
      <c r="J60" s="118">
        <v>766528</v>
      </c>
      <c r="K60" s="118">
        <f t="shared" si="6"/>
        <v>310788</v>
      </c>
    </row>
    <row r="61" spans="1:11" ht="18" customHeight="1" x14ac:dyDescent="0.2">
      <c r="A61" s="435" t="s">
        <v>100</v>
      </c>
      <c r="B61" s="413" t="s">
        <v>546</v>
      </c>
      <c r="C61" s="414"/>
      <c r="D61" s="415"/>
      <c r="F61" s="221"/>
      <c r="G61" s="221"/>
      <c r="H61" s="118">
        <v>882803</v>
      </c>
      <c r="I61" s="133">
        <v>0</v>
      </c>
      <c r="J61" s="118"/>
      <c r="K61" s="118">
        <f t="shared" si="6"/>
        <v>882803</v>
      </c>
    </row>
    <row r="62" spans="1:11" ht="18" customHeight="1" x14ac:dyDescent="0.2">
      <c r="A62" s="435" t="s">
        <v>101</v>
      </c>
      <c r="B62" s="418"/>
      <c r="C62" s="417"/>
      <c r="D62" s="412"/>
      <c r="F62" s="221"/>
      <c r="G62" s="221"/>
      <c r="H62" s="118"/>
      <c r="I62" s="133">
        <v>0</v>
      </c>
      <c r="J62" s="118"/>
      <c r="K62" s="118">
        <f t="shared" si="6"/>
        <v>0</v>
      </c>
    </row>
    <row r="63" spans="1:11" ht="18" customHeight="1" x14ac:dyDescent="0.2">
      <c r="A63" s="435"/>
      <c r="I63" s="129"/>
    </row>
    <row r="64" spans="1:11" ht="18" customHeight="1" x14ac:dyDescent="0.2">
      <c r="A64" s="435" t="s">
        <v>144</v>
      </c>
      <c r="B64" s="421" t="s">
        <v>145</v>
      </c>
      <c r="E64" s="421" t="s">
        <v>7</v>
      </c>
      <c r="F64" s="221">
        <f t="shared" ref="F64:K64" si="7">SUM(F53:F62)</f>
        <v>4179</v>
      </c>
      <c r="G64" s="221">
        <f t="shared" si="7"/>
        <v>1927</v>
      </c>
      <c r="H64" s="118">
        <f t="shared" si="7"/>
        <v>28030816</v>
      </c>
      <c r="I64" s="118">
        <f t="shared" si="7"/>
        <v>1057200.3441120107</v>
      </c>
      <c r="J64" s="118">
        <f t="shared" si="7"/>
        <v>13428894</v>
      </c>
      <c r="K64" s="118">
        <f t="shared" si="7"/>
        <v>15659122.344112011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5491</v>
      </c>
      <c r="G68" s="122"/>
      <c r="H68" s="122">
        <v>288801</v>
      </c>
      <c r="I68" s="133">
        <f t="shared" ref="I68" si="8">H68*F$114</f>
        <v>191922.03735464142</v>
      </c>
      <c r="J68" s="122">
        <v>291127</v>
      </c>
      <c r="K68" s="118">
        <f>(H68+I68)-J68</f>
        <v>189596.03735464142</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9">SUM(F68:F72)</f>
        <v>5491</v>
      </c>
      <c r="G74" s="122">
        <f t="shared" si="9"/>
        <v>0</v>
      </c>
      <c r="H74" s="122">
        <f t="shared" si="9"/>
        <v>288801</v>
      </c>
      <c r="I74" s="133">
        <f t="shared" si="9"/>
        <v>191922.03735464142</v>
      </c>
      <c r="J74" s="122">
        <f t="shared" si="9"/>
        <v>291127</v>
      </c>
      <c r="K74" s="118">
        <f t="shared" si="9"/>
        <v>189596.03735464142</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544786</v>
      </c>
      <c r="I77" s="133">
        <v>0</v>
      </c>
      <c r="J77" s="118"/>
      <c r="K77" s="118">
        <f>(H77+I77)-J77</f>
        <v>544786</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0">SUM(F77:F80)</f>
        <v>0</v>
      </c>
      <c r="G82" s="122">
        <f t="shared" si="10"/>
        <v>0</v>
      </c>
      <c r="H82" s="118">
        <f t="shared" si="10"/>
        <v>544786</v>
      </c>
      <c r="I82" s="118">
        <f t="shared" si="10"/>
        <v>0</v>
      </c>
      <c r="J82" s="118">
        <f t="shared" si="10"/>
        <v>0</v>
      </c>
      <c r="K82" s="118">
        <f t="shared" si="10"/>
        <v>544786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v>474211</v>
      </c>
      <c r="I86" s="133">
        <v>0</v>
      </c>
      <c r="J86" s="118">
        <v>48013</v>
      </c>
      <c r="K86" s="118">
        <f t="shared" ref="K86:K96" si="11">(H86+I86)-J86</f>
        <v>426198</v>
      </c>
    </row>
    <row r="87" spans="1:11" ht="18" customHeight="1" x14ac:dyDescent="0.2">
      <c r="A87" s="435" t="s">
        <v>114</v>
      </c>
      <c r="B87" s="419" t="s">
        <v>14</v>
      </c>
      <c r="F87" s="221"/>
      <c r="G87" s="221"/>
      <c r="H87" s="118"/>
      <c r="I87" s="133">
        <f t="shared" ref="I87:I96" si="12">H87*F$114</f>
        <v>0</v>
      </c>
      <c r="J87" s="118"/>
      <c r="K87" s="118">
        <f t="shared" si="11"/>
        <v>0</v>
      </c>
    </row>
    <row r="88" spans="1:11" ht="18" customHeight="1" x14ac:dyDescent="0.2">
      <c r="A88" s="435" t="s">
        <v>115</v>
      </c>
      <c r="B88" s="419" t="s">
        <v>116</v>
      </c>
      <c r="F88" s="221"/>
      <c r="G88" s="221"/>
      <c r="H88" s="118"/>
      <c r="I88" s="133">
        <f t="shared" si="12"/>
        <v>0</v>
      </c>
      <c r="J88" s="118">
        <v>30000</v>
      </c>
      <c r="K88" s="118">
        <f t="shared" si="11"/>
        <v>-30000</v>
      </c>
    </row>
    <row r="89" spans="1:11" ht="18" customHeight="1" x14ac:dyDescent="0.2">
      <c r="A89" s="435" t="s">
        <v>117</v>
      </c>
      <c r="B89" s="419" t="s">
        <v>58</v>
      </c>
      <c r="F89" s="221"/>
      <c r="G89" s="221"/>
      <c r="H89" s="118"/>
      <c r="I89" s="133">
        <f t="shared" si="12"/>
        <v>0</v>
      </c>
      <c r="J89" s="118"/>
      <c r="K89" s="118">
        <f t="shared" si="11"/>
        <v>0</v>
      </c>
    </row>
    <row r="90" spans="1:11" ht="18" customHeight="1" x14ac:dyDescent="0.2">
      <c r="A90" s="435" t="s">
        <v>118</v>
      </c>
      <c r="B90" s="465" t="s">
        <v>59</v>
      </c>
      <c r="C90" s="466"/>
      <c r="F90" s="221"/>
      <c r="G90" s="221"/>
      <c r="H90" s="118"/>
      <c r="I90" s="133">
        <f t="shared" si="12"/>
        <v>0</v>
      </c>
      <c r="J90" s="118"/>
      <c r="K90" s="118">
        <f t="shared" si="11"/>
        <v>0</v>
      </c>
    </row>
    <row r="91" spans="1:11" ht="18" customHeight="1" x14ac:dyDescent="0.2">
      <c r="A91" s="435" t="s">
        <v>119</v>
      </c>
      <c r="B91" s="419" t="s">
        <v>60</v>
      </c>
      <c r="F91" s="221"/>
      <c r="G91" s="221"/>
      <c r="H91" s="118"/>
      <c r="I91" s="133">
        <f t="shared" si="12"/>
        <v>0</v>
      </c>
      <c r="J91" s="118"/>
      <c r="K91" s="118">
        <f t="shared" si="11"/>
        <v>0</v>
      </c>
    </row>
    <row r="92" spans="1:11" ht="18" customHeight="1" x14ac:dyDescent="0.2">
      <c r="A92" s="435" t="s">
        <v>120</v>
      </c>
      <c r="B92" s="419" t="s">
        <v>121</v>
      </c>
      <c r="F92" s="257"/>
      <c r="G92" s="257"/>
      <c r="H92" s="429"/>
      <c r="I92" s="133">
        <f t="shared" si="12"/>
        <v>0</v>
      </c>
      <c r="J92" s="429"/>
      <c r="K92" s="118">
        <f t="shared" si="11"/>
        <v>0</v>
      </c>
    </row>
    <row r="93" spans="1:11" ht="18" customHeight="1" x14ac:dyDescent="0.2">
      <c r="A93" s="435" t="s">
        <v>122</v>
      </c>
      <c r="B93" s="419" t="s">
        <v>123</v>
      </c>
      <c r="F93" s="221"/>
      <c r="G93" s="221"/>
      <c r="H93" s="118"/>
      <c r="I93" s="133">
        <f t="shared" si="12"/>
        <v>0</v>
      </c>
      <c r="J93" s="118"/>
      <c r="K93" s="118">
        <f t="shared" si="11"/>
        <v>0</v>
      </c>
    </row>
    <row r="94" spans="1:11" ht="18" customHeight="1" x14ac:dyDescent="0.2">
      <c r="A94" s="435" t="s">
        <v>124</v>
      </c>
      <c r="B94" s="418"/>
      <c r="C94" s="417"/>
      <c r="D94" s="412"/>
      <c r="F94" s="221"/>
      <c r="G94" s="221"/>
      <c r="H94" s="118"/>
      <c r="I94" s="133">
        <f t="shared" si="12"/>
        <v>0</v>
      </c>
      <c r="J94" s="118"/>
      <c r="K94" s="118">
        <f t="shared" si="11"/>
        <v>0</v>
      </c>
    </row>
    <row r="95" spans="1:11" ht="18" customHeight="1" x14ac:dyDescent="0.2">
      <c r="A95" s="435" t="s">
        <v>125</v>
      </c>
      <c r="B95" s="418"/>
      <c r="C95" s="417"/>
      <c r="D95" s="412"/>
      <c r="F95" s="221"/>
      <c r="G95" s="221"/>
      <c r="H95" s="118"/>
      <c r="I95" s="133">
        <f t="shared" si="12"/>
        <v>0</v>
      </c>
      <c r="J95" s="118"/>
      <c r="K95" s="118">
        <f t="shared" si="11"/>
        <v>0</v>
      </c>
    </row>
    <row r="96" spans="1:11" ht="18" customHeight="1" x14ac:dyDescent="0.2">
      <c r="A96" s="435" t="s">
        <v>126</v>
      </c>
      <c r="B96" s="418"/>
      <c r="C96" s="417"/>
      <c r="D96" s="412"/>
      <c r="F96" s="221"/>
      <c r="G96" s="221"/>
      <c r="H96" s="118"/>
      <c r="I96" s="133">
        <f t="shared" si="12"/>
        <v>0</v>
      </c>
      <c r="J96" s="118"/>
      <c r="K96" s="118">
        <f t="shared" si="11"/>
        <v>0</v>
      </c>
    </row>
    <row r="97" spans="1:11" ht="18" customHeight="1" x14ac:dyDescent="0.2">
      <c r="A97" s="435"/>
      <c r="B97" s="419"/>
    </row>
    <row r="98" spans="1:11" ht="18" customHeight="1" x14ac:dyDescent="0.2">
      <c r="A98" s="455" t="s">
        <v>150</v>
      </c>
      <c r="B98" s="421" t="s">
        <v>151</v>
      </c>
      <c r="E98" s="421" t="s">
        <v>7</v>
      </c>
      <c r="F98" s="221">
        <f t="shared" ref="F98:K98" si="13">SUM(F86:F96)</f>
        <v>0</v>
      </c>
      <c r="G98" s="221">
        <f t="shared" si="13"/>
        <v>0</v>
      </c>
      <c r="H98" s="221">
        <f t="shared" si="13"/>
        <v>474211</v>
      </c>
      <c r="I98" s="221">
        <f t="shared" si="13"/>
        <v>0</v>
      </c>
      <c r="J98" s="221">
        <f t="shared" si="13"/>
        <v>78013</v>
      </c>
      <c r="K98" s="221">
        <f t="shared" si="13"/>
        <v>396198</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c r="G102" s="221"/>
      <c r="H102" s="118"/>
      <c r="I102" s="133">
        <f>H102*F$114</f>
        <v>0</v>
      </c>
      <c r="J102" s="118"/>
      <c r="K102" s="118">
        <f>(H102+I102)-J102</f>
        <v>0</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0</v>
      </c>
      <c r="G108" s="221">
        <f t="shared" si="14"/>
        <v>0</v>
      </c>
      <c r="H108" s="118">
        <f t="shared" si="14"/>
        <v>0</v>
      </c>
      <c r="I108" s="118">
        <f t="shared" si="14"/>
        <v>0</v>
      </c>
      <c r="J108" s="118">
        <f t="shared" si="14"/>
        <v>0</v>
      </c>
      <c r="K108" s="118">
        <f t="shared" si="14"/>
        <v>0</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23954876</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0.66454768977476331</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449001000</v>
      </c>
    </row>
    <row r="118" spans="1:6" ht="18" customHeight="1" x14ac:dyDescent="0.2">
      <c r="A118" s="435" t="s">
        <v>173</v>
      </c>
      <c r="B118" s="259" t="s">
        <v>18</v>
      </c>
      <c r="F118" s="118">
        <v>9379000</v>
      </c>
    </row>
    <row r="119" spans="1:6" ht="18" customHeight="1" x14ac:dyDescent="0.2">
      <c r="A119" s="435" t="s">
        <v>174</v>
      </c>
      <c r="B119" s="421" t="s">
        <v>19</v>
      </c>
      <c r="F119" s="118">
        <f>SUM(F117:F118)</f>
        <v>458380000</v>
      </c>
    </row>
    <row r="120" spans="1:6" ht="18" customHeight="1" x14ac:dyDescent="0.2">
      <c r="A120" s="435"/>
      <c r="B120" s="421"/>
    </row>
    <row r="121" spans="1:6" ht="18" customHeight="1" x14ac:dyDescent="0.2">
      <c r="A121" s="435" t="s">
        <v>167</v>
      </c>
      <c r="B121" s="421" t="s">
        <v>36</v>
      </c>
      <c r="F121" s="118">
        <v>452096000</v>
      </c>
    </row>
    <row r="122" spans="1:6" ht="18" customHeight="1" x14ac:dyDescent="0.2">
      <c r="A122" s="435"/>
    </row>
    <row r="123" spans="1:6" ht="18" customHeight="1" x14ac:dyDescent="0.2">
      <c r="A123" s="435" t="s">
        <v>175</v>
      </c>
      <c r="B123" s="421" t="s">
        <v>20</v>
      </c>
      <c r="F123" s="118">
        <v>6284000</v>
      </c>
    </row>
    <row r="124" spans="1:6" ht="18" customHeight="1" x14ac:dyDescent="0.2">
      <c r="A124" s="435"/>
    </row>
    <row r="125" spans="1:6" ht="18" customHeight="1" x14ac:dyDescent="0.2">
      <c r="A125" s="435" t="s">
        <v>176</v>
      </c>
      <c r="B125" s="421" t="s">
        <v>21</v>
      </c>
      <c r="F125" s="118">
        <v>-542000</v>
      </c>
    </row>
    <row r="126" spans="1:6" ht="18" customHeight="1" x14ac:dyDescent="0.2">
      <c r="A126" s="435"/>
    </row>
    <row r="127" spans="1:6" ht="18" customHeight="1" x14ac:dyDescent="0.2">
      <c r="A127" s="435" t="s">
        <v>177</v>
      </c>
      <c r="B127" s="421" t="s">
        <v>22</v>
      </c>
      <c r="F127" s="118">
        <v>5742000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v>346755</v>
      </c>
      <c r="I131" s="133">
        <v>0</v>
      </c>
      <c r="J131" s="118">
        <v>170340</v>
      </c>
      <c r="K131" s="118">
        <f>(H131+I131)-J131</f>
        <v>176415</v>
      </c>
    </row>
    <row r="132" spans="1:11" ht="18" customHeight="1" x14ac:dyDescent="0.2">
      <c r="A132" s="435" t="s">
        <v>159</v>
      </c>
      <c r="B132" s="259" t="s">
        <v>25</v>
      </c>
      <c r="F132" s="221"/>
      <c r="G132" s="221"/>
      <c r="H132" s="118">
        <v>60000</v>
      </c>
      <c r="I132" s="133">
        <v>0</v>
      </c>
      <c r="J132" s="118">
        <v>7000</v>
      </c>
      <c r="K132" s="118">
        <f>(H132+I132)-J132</f>
        <v>53000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118">
        <f t="shared" si="15"/>
        <v>406755</v>
      </c>
      <c r="I137" s="118">
        <f t="shared" si="15"/>
        <v>0</v>
      </c>
      <c r="J137" s="118">
        <f t="shared" si="15"/>
        <v>177340</v>
      </c>
      <c r="K137" s="118">
        <f t="shared" si="15"/>
        <v>229415</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6">F36</f>
        <v>10355</v>
      </c>
      <c r="G141" s="422">
        <f t="shared" si="16"/>
        <v>60</v>
      </c>
      <c r="H141" s="422">
        <f t="shared" si="16"/>
        <v>806412</v>
      </c>
      <c r="I141" s="422">
        <f t="shared" si="16"/>
        <v>535899.23160664644</v>
      </c>
      <c r="J141" s="422">
        <f t="shared" si="16"/>
        <v>26100</v>
      </c>
      <c r="K141" s="422">
        <f t="shared" si="16"/>
        <v>1316211.2316066464</v>
      </c>
    </row>
    <row r="142" spans="1:11" ht="18" customHeight="1" x14ac:dyDescent="0.2">
      <c r="A142" s="435" t="s">
        <v>142</v>
      </c>
      <c r="B142" s="421" t="s">
        <v>65</v>
      </c>
      <c r="F142" s="422">
        <f t="shared" ref="F142:K142" si="17">F49</f>
        <v>182559</v>
      </c>
      <c r="G142" s="422">
        <f t="shared" si="17"/>
        <v>0</v>
      </c>
      <c r="H142" s="422">
        <f t="shared" si="17"/>
        <v>8013957</v>
      </c>
      <c r="I142" s="422">
        <f t="shared" si="17"/>
        <v>0</v>
      </c>
      <c r="J142" s="422">
        <f t="shared" si="17"/>
        <v>0</v>
      </c>
      <c r="K142" s="422">
        <f t="shared" si="17"/>
        <v>8013957</v>
      </c>
    </row>
    <row r="143" spans="1:11" ht="18" customHeight="1" x14ac:dyDescent="0.2">
      <c r="A143" s="435" t="s">
        <v>144</v>
      </c>
      <c r="B143" s="421" t="s">
        <v>66</v>
      </c>
      <c r="F143" s="422">
        <f t="shared" ref="F143:K143" si="18">F64</f>
        <v>4179</v>
      </c>
      <c r="G143" s="422">
        <f t="shared" si="18"/>
        <v>1927</v>
      </c>
      <c r="H143" s="422">
        <f t="shared" si="18"/>
        <v>28030816</v>
      </c>
      <c r="I143" s="422">
        <f t="shared" si="18"/>
        <v>1057200.3441120107</v>
      </c>
      <c r="J143" s="422">
        <f t="shared" si="18"/>
        <v>13428894</v>
      </c>
      <c r="K143" s="422">
        <f t="shared" si="18"/>
        <v>15659122.344112011</v>
      </c>
    </row>
    <row r="144" spans="1:11" ht="18" customHeight="1" x14ac:dyDescent="0.2">
      <c r="A144" s="435" t="s">
        <v>146</v>
      </c>
      <c r="B144" s="421" t="s">
        <v>67</v>
      </c>
      <c r="F144" s="422">
        <f t="shared" ref="F144:K144" si="19">F74</f>
        <v>5491</v>
      </c>
      <c r="G144" s="422">
        <f t="shared" si="19"/>
        <v>0</v>
      </c>
      <c r="H144" s="422">
        <f t="shared" si="19"/>
        <v>288801</v>
      </c>
      <c r="I144" s="422">
        <f t="shared" si="19"/>
        <v>191922.03735464142</v>
      </c>
      <c r="J144" s="422">
        <f t="shared" si="19"/>
        <v>291127</v>
      </c>
      <c r="K144" s="422">
        <f t="shared" si="19"/>
        <v>189596.03735464142</v>
      </c>
    </row>
    <row r="145" spans="1:11" ht="18" customHeight="1" x14ac:dyDescent="0.2">
      <c r="A145" s="435" t="s">
        <v>148</v>
      </c>
      <c r="B145" s="421" t="s">
        <v>68</v>
      </c>
      <c r="F145" s="422">
        <f t="shared" ref="F145:K145" si="20">F82</f>
        <v>0</v>
      </c>
      <c r="G145" s="422">
        <f t="shared" si="20"/>
        <v>0</v>
      </c>
      <c r="H145" s="422">
        <f t="shared" si="20"/>
        <v>544786</v>
      </c>
      <c r="I145" s="422">
        <f t="shared" si="20"/>
        <v>0</v>
      </c>
      <c r="J145" s="422">
        <f t="shared" si="20"/>
        <v>0</v>
      </c>
      <c r="K145" s="422">
        <f t="shared" si="20"/>
        <v>544786</v>
      </c>
    </row>
    <row r="146" spans="1:11" ht="18" customHeight="1" x14ac:dyDescent="0.2">
      <c r="A146" s="435" t="s">
        <v>150</v>
      </c>
      <c r="B146" s="421" t="s">
        <v>69</v>
      </c>
      <c r="F146" s="422">
        <f t="shared" ref="F146:K146" si="21">F98</f>
        <v>0</v>
      </c>
      <c r="G146" s="422">
        <f t="shared" si="21"/>
        <v>0</v>
      </c>
      <c r="H146" s="422">
        <f t="shared" si="21"/>
        <v>474211</v>
      </c>
      <c r="I146" s="422">
        <f t="shared" si="21"/>
        <v>0</v>
      </c>
      <c r="J146" s="422">
        <f t="shared" si="21"/>
        <v>78013</v>
      </c>
      <c r="K146" s="422">
        <f t="shared" si="21"/>
        <v>396198</v>
      </c>
    </row>
    <row r="147" spans="1:11" ht="18" customHeight="1" x14ac:dyDescent="0.2">
      <c r="A147" s="435" t="s">
        <v>153</v>
      </c>
      <c r="B147" s="421" t="s">
        <v>61</v>
      </c>
      <c r="F147" s="221">
        <f t="shared" ref="F147:K147" si="22">F108</f>
        <v>0</v>
      </c>
      <c r="G147" s="221">
        <f t="shared" si="22"/>
        <v>0</v>
      </c>
      <c r="H147" s="221">
        <f t="shared" si="22"/>
        <v>0</v>
      </c>
      <c r="I147" s="221">
        <f t="shared" si="22"/>
        <v>0</v>
      </c>
      <c r="J147" s="221">
        <f t="shared" si="22"/>
        <v>0</v>
      </c>
      <c r="K147" s="221">
        <f t="shared" si="22"/>
        <v>0</v>
      </c>
    </row>
    <row r="148" spans="1:11" ht="18" customHeight="1" x14ac:dyDescent="0.2">
      <c r="A148" s="435" t="s">
        <v>155</v>
      </c>
      <c r="B148" s="421" t="s">
        <v>70</v>
      </c>
      <c r="F148" s="485" t="s">
        <v>73</v>
      </c>
      <c r="G148" s="485" t="s">
        <v>73</v>
      </c>
      <c r="H148" s="486" t="s">
        <v>73</v>
      </c>
      <c r="I148" s="486" t="s">
        <v>73</v>
      </c>
      <c r="J148" s="486" t="s">
        <v>73</v>
      </c>
      <c r="K148" s="423">
        <f>F111</f>
        <v>23954876</v>
      </c>
    </row>
    <row r="149" spans="1:11" ht="18" customHeight="1" x14ac:dyDescent="0.2">
      <c r="A149" s="435" t="s">
        <v>163</v>
      </c>
      <c r="B149" s="421" t="s">
        <v>71</v>
      </c>
      <c r="F149" s="221">
        <f t="shared" ref="F149:K149" si="23">F137</f>
        <v>0</v>
      </c>
      <c r="G149" s="221">
        <f t="shared" si="23"/>
        <v>0</v>
      </c>
      <c r="H149" s="221">
        <f t="shared" si="23"/>
        <v>406755</v>
      </c>
      <c r="I149" s="221">
        <f t="shared" si="23"/>
        <v>0</v>
      </c>
      <c r="J149" s="221">
        <f t="shared" si="23"/>
        <v>177340</v>
      </c>
      <c r="K149" s="221">
        <f t="shared" si="23"/>
        <v>229415</v>
      </c>
    </row>
    <row r="150" spans="1:11" ht="18" customHeight="1" x14ac:dyDescent="0.2">
      <c r="A150" s="435" t="s">
        <v>185</v>
      </c>
      <c r="B150" s="421" t="s">
        <v>186</v>
      </c>
      <c r="F150" s="485" t="s">
        <v>73</v>
      </c>
      <c r="G150" s="485" t="s">
        <v>73</v>
      </c>
      <c r="H150" s="221">
        <f>H18</f>
        <v>9295390</v>
      </c>
      <c r="I150" s="221">
        <f>I18</f>
        <v>0</v>
      </c>
      <c r="J150" s="221">
        <f>J18</f>
        <v>7856439</v>
      </c>
      <c r="K150" s="221">
        <f>K18</f>
        <v>1438951</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4">SUM(F141:F150)</f>
        <v>202584</v>
      </c>
      <c r="G152" s="487">
        <f t="shared" si="24"/>
        <v>1987</v>
      </c>
      <c r="H152" s="487">
        <f t="shared" si="24"/>
        <v>47861128</v>
      </c>
      <c r="I152" s="487">
        <f t="shared" si="24"/>
        <v>1785021.6130732985</v>
      </c>
      <c r="J152" s="487">
        <f t="shared" si="24"/>
        <v>21857913</v>
      </c>
      <c r="K152" s="487">
        <f t="shared" si="24"/>
        <v>51743112.613073297</v>
      </c>
    </row>
    <row r="154" spans="1:11" ht="18" customHeight="1" x14ac:dyDescent="0.2">
      <c r="A154" s="455" t="s">
        <v>168</v>
      </c>
      <c r="B154" s="421" t="s">
        <v>28</v>
      </c>
      <c r="F154" s="140">
        <f>K152/F121</f>
        <v>0.11445160455538933</v>
      </c>
    </row>
    <row r="155" spans="1:11" ht="18" customHeight="1" x14ac:dyDescent="0.2">
      <c r="A155" s="455" t="s">
        <v>169</v>
      </c>
      <c r="B155" s="421" t="s">
        <v>72</v>
      </c>
      <c r="F155" s="140">
        <f>K152/F127</f>
        <v>9.0113397096958021</v>
      </c>
      <c r="G155" s="421"/>
    </row>
    <row r="156" spans="1:11" ht="18" customHeight="1" x14ac:dyDescent="0.2">
      <c r="G156" s="421"/>
    </row>
  </sheetData>
  <sheetProtection algorithmName="SHA-512" hashValue="cHbPzxj+AlIQtmAqL9aGi9BDqf9RaMvuqXjjREQh1A2MhbBYwu3UCkuvtv04TmrHFbvO9FejWsO6ovrUiP589A==" saltValue="p406jXYcK/zToHR5ErUJwg=="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672</v>
      </c>
      <c r="D5" s="437"/>
      <c r="E5" s="437"/>
      <c r="F5" s="437"/>
      <c r="G5" s="438"/>
    </row>
    <row r="6" spans="1:11" ht="18" customHeight="1" x14ac:dyDescent="0.2">
      <c r="B6" s="435" t="s">
        <v>3</v>
      </c>
      <c r="C6" s="439">
        <v>12</v>
      </c>
      <c r="D6" s="440"/>
      <c r="E6" s="440"/>
      <c r="F6" s="440"/>
      <c r="G6" s="441"/>
    </row>
    <row r="7" spans="1:11" ht="18" customHeight="1" x14ac:dyDescent="0.2">
      <c r="B7" s="435" t="s">
        <v>4</v>
      </c>
      <c r="C7" s="492">
        <v>4992</v>
      </c>
      <c r="D7" s="493"/>
      <c r="E7" s="493"/>
      <c r="F7" s="493"/>
      <c r="G7" s="494"/>
    </row>
    <row r="9" spans="1:11" ht="18" customHeight="1" x14ac:dyDescent="0.2">
      <c r="B9" s="435" t="s">
        <v>1</v>
      </c>
      <c r="C9" s="436" t="s">
        <v>321</v>
      </c>
      <c r="D9" s="437"/>
      <c r="E9" s="437"/>
      <c r="F9" s="437"/>
      <c r="G9" s="438"/>
    </row>
    <row r="10" spans="1:11" ht="18" customHeight="1" x14ac:dyDescent="0.2">
      <c r="B10" s="435" t="s">
        <v>2</v>
      </c>
      <c r="C10" s="445" t="s">
        <v>322</v>
      </c>
      <c r="D10" s="446"/>
      <c r="E10" s="446"/>
      <c r="F10" s="446"/>
      <c r="G10" s="447"/>
    </row>
    <row r="11" spans="1:11" ht="18" customHeight="1" x14ac:dyDescent="0.2">
      <c r="B11" s="435" t="s">
        <v>32</v>
      </c>
      <c r="C11" s="495" t="s">
        <v>323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16637288</v>
      </c>
      <c r="I18" s="133">
        <v>0</v>
      </c>
      <c r="J18" s="118">
        <v>14061791</v>
      </c>
      <c r="K18" s="118">
        <f>(H18+I18)-J18</f>
        <v>2575497</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2021</v>
      </c>
      <c r="G21" s="221">
        <v>3161</v>
      </c>
      <c r="H21" s="118">
        <v>81707</v>
      </c>
      <c r="I21" s="133">
        <f t="shared" ref="I21:I34" si="0">H21*F$114</f>
        <v>51581.629099999998</v>
      </c>
      <c r="J21" s="118">
        <v>35726</v>
      </c>
      <c r="K21" s="118">
        <f t="shared" ref="K21:K34" si="1">(H21+I21)-J21</f>
        <v>97562.629099999991</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v>85</v>
      </c>
      <c r="G23" s="221">
        <v>200</v>
      </c>
      <c r="H23" s="118">
        <v>3842</v>
      </c>
      <c r="I23" s="133">
        <f t="shared" si="0"/>
        <v>2425.4546</v>
      </c>
      <c r="J23" s="118"/>
      <c r="K23" s="118">
        <f t="shared" si="1"/>
        <v>6267.4546</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v>4650</v>
      </c>
      <c r="G25" s="221">
        <v>604</v>
      </c>
      <c r="H25" s="118">
        <v>194169</v>
      </c>
      <c r="I25" s="133">
        <f t="shared" si="0"/>
        <v>122578.8897</v>
      </c>
      <c r="J25" s="118">
        <v>146821</v>
      </c>
      <c r="K25" s="118">
        <f t="shared" si="1"/>
        <v>169926.8897</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47342</v>
      </c>
      <c r="G29" s="221">
        <v>1583</v>
      </c>
      <c r="H29" s="118">
        <v>2572369</v>
      </c>
      <c r="I29" s="133">
        <f t="shared" si="0"/>
        <v>1623936.5496999999</v>
      </c>
      <c r="J29" s="118">
        <v>1281679</v>
      </c>
      <c r="K29" s="118">
        <f t="shared" si="1"/>
        <v>2914626.5496999994</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54098</v>
      </c>
      <c r="G36" s="221">
        <f t="shared" si="2"/>
        <v>5548</v>
      </c>
      <c r="H36" s="221">
        <f t="shared" si="2"/>
        <v>2852087</v>
      </c>
      <c r="I36" s="118">
        <f t="shared" si="2"/>
        <v>1800522.5230999999</v>
      </c>
      <c r="J36" s="118">
        <f t="shared" si="2"/>
        <v>1464226</v>
      </c>
      <c r="K36" s="118">
        <f t="shared" si="2"/>
        <v>3188383.5230999994</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346901</v>
      </c>
      <c r="G40" s="221"/>
      <c r="H40" s="118">
        <v>13881502</v>
      </c>
      <c r="I40" s="133">
        <f t="shared" ref="I40:I47" si="3">H40*F$114</f>
        <v>8763392.2126000002</v>
      </c>
      <c r="J40" s="118"/>
      <c r="K40" s="118">
        <f t="shared" ref="K40:K47" si="4">(H40+I40)-J40</f>
        <v>22644894.2126</v>
      </c>
    </row>
    <row r="41" spans="1:11" ht="18" customHeight="1" x14ac:dyDescent="0.2">
      <c r="A41" s="435" t="s">
        <v>88</v>
      </c>
      <c r="B41" s="465" t="s">
        <v>50</v>
      </c>
      <c r="C41" s="466"/>
      <c r="F41" s="221">
        <v>8472</v>
      </c>
      <c r="G41" s="221"/>
      <c r="H41" s="118">
        <v>475240</v>
      </c>
      <c r="I41" s="133">
        <f t="shared" si="3"/>
        <v>300019.01199999999</v>
      </c>
      <c r="J41" s="118"/>
      <c r="K41" s="118">
        <f t="shared" si="4"/>
        <v>775259.01199999999</v>
      </c>
    </row>
    <row r="42" spans="1:11" ht="18" customHeight="1" x14ac:dyDescent="0.2">
      <c r="A42" s="435" t="s">
        <v>89</v>
      </c>
      <c r="B42" s="419" t="s">
        <v>11</v>
      </c>
      <c r="F42" s="221">
        <v>13371</v>
      </c>
      <c r="G42" s="221">
        <v>144</v>
      </c>
      <c r="H42" s="118">
        <v>516330</v>
      </c>
      <c r="I42" s="133">
        <f t="shared" si="3"/>
        <v>325959.12899999996</v>
      </c>
      <c r="J42" s="118">
        <v>102000</v>
      </c>
      <c r="K42" s="118">
        <f t="shared" si="4"/>
        <v>740289.12899999996</v>
      </c>
    </row>
    <row r="43" spans="1:11" ht="18" customHeight="1" x14ac:dyDescent="0.2">
      <c r="A43" s="435" t="s">
        <v>90</v>
      </c>
      <c r="B43" s="467" t="s">
        <v>10</v>
      </c>
      <c r="C43" s="468"/>
      <c r="D43" s="468"/>
      <c r="F43" s="221"/>
      <c r="G43" s="221"/>
      <c r="H43" s="118"/>
      <c r="I43" s="133">
        <f t="shared" si="3"/>
        <v>0</v>
      </c>
      <c r="J43" s="118"/>
      <c r="K43" s="118">
        <f t="shared" si="4"/>
        <v>0</v>
      </c>
    </row>
    <row r="44" spans="1:11" ht="18" customHeight="1" x14ac:dyDescent="0.2">
      <c r="A44" s="435" t="s">
        <v>91</v>
      </c>
      <c r="B44" s="456"/>
      <c r="C44" s="457"/>
      <c r="D44" s="458"/>
      <c r="F44" s="407"/>
      <c r="G44" s="407"/>
      <c r="H44" s="407"/>
      <c r="I44" s="133">
        <f t="shared" si="3"/>
        <v>0</v>
      </c>
      <c r="J44" s="407"/>
      <c r="K44" s="134">
        <f t="shared" si="4"/>
        <v>0</v>
      </c>
    </row>
    <row r="45" spans="1:11" ht="18" customHeight="1" x14ac:dyDescent="0.2">
      <c r="A45" s="435" t="s">
        <v>139</v>
      </c>
      <c r="B45" s="456"/>
      <c r="C45" s="457"/>
      <c r="D45" s="458"/>
      <c r="F45" s="221"/>
      <c r="G45" s="221"/>
      <c r="H45" s="118"/>
      <c r="I45" s="133">
        <f t="shared" si="3"/>
        <v>0</v>
      </c>
      <c r="J45" s="118"/>
      <c r="K45" s="118">
        <f t="shared" si="4"/>
        <v>0</v>
      </c>
    </row>
    <row r="46" spans="1:11" ht="18" customHeight="1" x14ac:dyDescent="0.2">
      <c r="A46" s="435" t="s">
        <v>140</v>
      </c>
      <c r="B46" s="456"/>
      <c r="C46" s="457"/>
      <c r="D46" s="458"/>
      <c r="F46" s="221"/>
      <c r="G46" s="221"/>
      <c r="H46" s="118"/>
      <c r="I46" s="133">
        <f t="shared" si="3"/>
        <v>0</v>
      </c>
      <c r="J46" s="118"/>
      <c r="K46" s="118">
        <f t="shared" si="4"/>
        <v>0</v>
      </c>
    </row>
    <row r="47" spans="1:11" ht="18" customHeight="1" x14ac:dyDescent="0.2">
      <c r="A47" s="435" t="s">
        <v>141</v>
      </c>
      <c r="B47" s="456"/>
      <c r="C47" s="457"/>
      <c r="D47" s="458"/>
      <c r="F47" s="221"/>
      <c r="G47" s="221"/>
      <c r="H47" s="118"/>
      <c r="I47" s="133">
        <f t="shared" si="3"/>
        <v>0</v>
      </c>
      <c r="J47" s="118"/>
      <c r="K47" s="118">
        <f t="shared" si="4"/>
        <v>0</v>
      </c>
    </row>
    <row r="49" spans="1:11" ht="18" customHeight="1" x14ac:dyDescent="0.2">
      <c r="A49" s="455" t="s">
        <v>142</v>
      </c>
      <c r="B49" s="421" t="s">
        <v>143</v>
      </c>
      <c r="E49" s="421" t="s">
        <v>7</v>
      </c>
      <c r="F49" s="409">
        <f t="shared" ref="F49:K49" si="5">SUM(F40:F47)</f>
        <v>368744</v>
      </c>
      <c r="G49" s="409">
        <f t="shared" si="5"/>
        <v>144</v>
      </c>
      <c r="H49" s="118">
        <f t="shared" si="5"/>
        <v>14873072</v>
      </c>
      <c r="I49" s="118">
        <f t="shared" si="5"/>
        <v>9389370.353600001</v>
      </c>
      <c r="J49" s="118">
        <f t="shared" si="5"/>
        <v>102000</v>
      </c>
      <c r="K49" s="118">
        <f t="shared" si="5"/>
        <v>24160442.353599999</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517</v>
      </c>
      <c r="C53" s="411"/>
      <c r="D53" s="412"/>
      <c r="F53" s="221"/>
      <c r="G53" s="221"/>
      <c r="H53" s="118">
        <v>5152008</v>
      </c>
      <c r="I53" s="133">
        <f t="shared" ref="I53:I62" si="6">H53*F$114</f>
        <v>3252462.6503999997</v>
      </c>
      <c r="J53" s="118"/>
      <c r="K53" s="118">
        <f t="shared" ref="K53:K62" si="7">(H53+I53)-J53</f>
        <v>8404470.6503999997</v>
      </c>
    </row>
    <row r="54" spans="1:11" ht="18" customHeight="1" x14ac:dyDescent="0.2">
      <c r="A54" s="435" t="s">
        <v>93</v>
      </c>
      <c r="B54" s="420" t="s">
        <v>547</v>
      </c>
      <c r="C54" s="414"/>
      <c r="D54" s="415"/>
      <c r="F54" s="221"/>
      <c r="G54" s="221"/>
      <c r="H54" s="118">
        <v>407500</v>
      </c>
      <c r="I54" s="133">
        <f t="shared" si="6"/>
        <v>257254.75</v>
      </c>
      <c r="J54" s="118"/>
      <c r="K54" s="118">
        <f t="shared" si="7"/>
        <v>664754.75</v>
      </c>
    </row>
    <row r="55" spans="1:11" ht="18" customHeight="1" x14ac:dyDescent="0.2">
      <c r="A55" s="435" t="s">
        <v>94</v>
      </c>
      <c r="B55" s="418" t="s">
        <v>338</v>
      </c>
      <c r="C55" s="417"/>
      <c r="D55" s="412"/>
      <c r="F55" s="221"/>
      <c r="G55" s="221"/>
      <c r="H55" s="118">
        <v>256426</v>
      </c>
      <c r="I55" s="133">
        <f t="shared" si="6"/>
        <v>161881.73379999999</v>
      </c>
      <c r="J55" s="118"/>
      <c r="K55" s="118">
        <f t="shared" si="7"/>
        <v>418307.73379999999</v>
      </c>
    </row>
    <row r="56" spans="1:11" ht="18" customHeight="1" x14ac:dyDescent="0.2">
      <c r="A56" s="435" t="s">
        <v>95</v>
      </c>
      <c r="B56" s="418" t="s">
        <v>548</v>
      </c>
      <c r="C56" s="417"/>
      <c r="D56" s="412"/>
      <c r="F56" s="221"/>
      <c r="G56" s="221"/>
      <c r="H56" s="118">
        <v>256586</v>
      </c>
      <c r="I56" s="133">
        <f t="shared" si="6"/>
        <v>161982.74179999999</v>
      </c>
      <c r="J56" s="118"/>
      <c r="K56" s="118">
        <f t="shared" si="7"/>
        <v>418568.74179999996</v>
      </c>
    </row>
    <row r="57" spans="1:11" ht="18" customHeight="1" x14ac:dyDescent="0.2">
      <c r="A57" s="435" t="s">
        <v>96</v>
      </c>
      <c r="B57" s="418" t="s">
        <v>673</v>
      </c>
      <c r="C57" s="417"/>
      <c r="D57" s="412"/>
      <c r="F57" s="221"/>
      <c r="G57" s="221"/>
      <c r="H57" s="118">
        <v>1038422</v>
      </c>
      <c r="I57" s="133">
        <f t="shared" si="6"/>
        <v>655555.80859999999</v>
      </c>
      <c r="J57" s="118"/>
      <c r="K57" s="118">
        <f t="shared" si="7"/>
        <v>1693977.8086000001</v>
      </c>
    </row>
    <row r="58" spans="1:11" ht="18" customHeight="1" x14ac:dyDescent="0.2">
      <c r="A58" s="435" t="s">
        <v>97</v>
      </c>
      <c r="B58" s="420" t="s">
        <v>674</v>
      </c>
      <c r="C58" s="414"/>
      <c r="D58" s="415"/>
      <c r="F58" s="221">
        <v>13851</v>
      </c>
      <c r="G58" s="221"/>
      <c r="H58" s="118">
        <v>6399701</v>
      </c>
      <c r="I58" s="133">
        <f t="shared" si="6"/>
        <v>4040131.2412999999</v>
      </c>
      <c r="J58" s="118">
        <v>2316127</v>
      </c>
      <c r="K58" s="118">
        <f t="shared" si="7"/>
        <v>8123705.2412999999</v>
      </c>
    </row>
    <row r="59" spans="1:11" ht="18" customHeight="1" x14ac:dyDescent="0.2">
      <c r="A59" s="435" t="s">
        <v>98</v>
      </c>
      <c r="B59" s="418"/>
      <c r="C59" s="417"/>
      <c r="D59" s="412"/>
      <c r="F59" s="221"/>
      <c r="G59" s="221"/>
      <c r="H59" s="118"/>
      <c r="I59" s="133">
        <f t="shared" si="6"/>
        <v>0</v>
      </c>
      <c r="J59" s="118"/>
      <c r="K59" s="118">
        <f t="shared" si="7"/>
        <v>0</v>
      </c>
    </row>
    <row r="60" spans="1:11" ht="18" customHeight="1" x14ac:dyDescent="0.2">
      <c r="A60" s="435" t="s">
        <v>99</v>
      </c>
      <c r="B60" s="420"/>
      <c r="C60" s="414"/>
      <c r="D60" s="415"/>
      <c r="F60" s="221"/>
      <c r="G60" s="221"/>
      <c r="H60" s="118"/>
      <c r="I60" s="133">
        <f t="shared" si="6"/>
        <v>0</v>
      </c>
      <c r="J60" s="118"/>
      <c r="K60" s="118">
        <f t="shared" si="7"/>
        <v>0</v>
      </c>
    </row>
    <row r="61" spans="1:11" ht="18" customHeight="1" x14ac:dyDescent="0.2">
      <c r="A61" s="435" t="s">
        <v>100</v>
      </c>
      <c r="B61" s="420"/>
      <c r="C61" s="414"/>
      <c r="D61" s="415"/>
      <c r="F61" s="221"/>
      <c r="G61" s="221"/>
      <c r="H61" s="118"/>
      <c r="I61" s="133">
        <f t="shared" si="6"/>
        <v>0</v>
      </c>
      <c r="J61" s="118"/>
      <c r="K61" s="118">
        <f t="shared" si="7"/>
        <v>0</v>
      </c>
    </row>
    <row r="62" spans="1:11" ht="18" customHeight="1" x14ac:dyDescent="0.2">
      <c r="A62" s="435" t="s">
        <v>101</v>
      </c>
      <c r="B62" s="418"/>
      <c r="C62" s="417"/>
      <c r="D62" s="412"/>
      <c r="F62" s="221"/>
      <c r="G62" s="221"/>
      <c r="H62" s="118"/>
      <c r="I62" s="133">
        <f t="shared" si="6"/>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13851</v>
      </c>
      <c r="G64" s="221">
        <f t="shared" si="8"/>
        <v>0</v>
      </c>
      <c r="H64" s="118">
        <f t="shared" si="8"/>
        <v>13510643</v>
      </c>
      <c r="I64" s="118">
        <f t="shared" si="8"/>
        <v>8529268.9258999992</v>
      </c>
      <c r="J64" s="118">
        <f t="shared" si="8"/>
        <v>2316127</v>
      </c>
      <c r="K64" s="118">
        <f t="shared" si="8"/>
        <v>19723784.925899997</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f>1240+6637</f>
        <v>7877</v>
      </c>
      <c r="G68" s="122"/>
      <c r="H68" s="133">
        <v>864107</v>
      </c>
      <c r="I68" s="133">
        <v>0</v>
      </c>
      <c r="J68" s="118">
        <v>560753</v>
      </c>
      <c r="K68" s="118">
        <f>(H68+I68)-J68</f>
        <v>303354</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t="s">
        <v>300</v>
      </c>
      <c r="C70" s="414"/>
      <c r="D70" s="415"/>
      <c r="E70" s="421"/>
      <c r="F70" s="422"/>
      <c r="G70" s="422"/>
      <c r="H70" s="423">
        <v>382429</v>
      </c>
      <c r="I70" s="133">
        <f t="shared" ref="I70" si="9">H70*F$114</f>
        <v>241427.4277</v>
      </c>
      <c r="J70" s="423"/>
      <c r="K70" s="118">
        <f>(H70+I70)-J70</f>
        <v>623856.4277</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0">SUM(F68:F72)</f>
        <v>7877</v>
      </c>
      <c r="G74" s="122">
        <f t="shared" si="10"/>
        <v>0</v>
      </c>
      <c r="H74" s="133">
        <f t="shared" si="10"/>
        <v>1246536</v>
      </c>
      <c r="I74" s="133">
        <f t="shared" si="10"/>
        <v>241427.4277</v>
      </c>
      <c r="J74" s="133">
        <f t="shared" si="10"/>
        <v>560753</v>
      </c>
      <c r="K74" s="118">
        <f t="shared" si="10"/>
        <v>927210.4277</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388119</v>
      </c>
      <c r="I77" s="133">
        <v>0</v>
      </c>
      <c r="J77" s="118"/>
      <c r="K77" s="118">
        <f>(H77+I77)-J77</f>
        <v>388119</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116</v>
      </c>
      <c r="G79" s="221">
        <v>236</v>
      </c>
      <c r="H79" s="118">
        <v>494827</v>
      </c>
      <c r="I79" s="133">
        <v>0</v>
      </c>
      <c r="J79" s="118"/>
      <c r="K79" s="118">
        <f>(H79+I79)-J79</f>
        <v>494827</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1">SUM(F77:F80)</f>
        <v>116</v>
      </c>
      <c r="G82" s="122">
        <f t="shared" si="11"/>
        <v>236</v>
      </c>
      <c r="H82" s="118">
        <f t="shared" si="11"/>
        <v>882946</v>
      </c>
      <c r="I82" s="118">
        <f t="shared" si="11"/>
        <v>0</v>
      </c>
      <c r="J82" s="118">
        <f t="shared" si="11"/>
        <v>0</v>
      </c>
      <c r="K82" s="118">
        <f t="shared" si="11"/>
        <v>882946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1282</v>
      </c>
      <c r="G86" s="221"/>
      <c r="H86" s="118">
        <v>54721</v>
      </c>
      <c r="I86" s="133">
        <f t="shared" ref="I86:I96" si="12">H86*F$114</f>
        <v>34545.367299999998</v>
      </c>
      <c r="J86" s="118">
        <v>53872</v>
      </c>
      <c r="K86" s="118">
        <f t="shared" ref="K86:K96" si="13">(H86+I86)-J86</f>
        <v>35394.367299999998</v>
      </c>
    </row>
    <row r="87" spans="1:11" ht="18" customHeight="1" x14ac:dyDescent="0.2">
      <c r="A87" s="435" t="s">
        <v>114</v>
      </c>
      <c r="B87" s="419" t="s">
        <v>14</v>
      </c>
      <c r="F87" s="221"/>
      <c r="G87" s="221"/>
      <c r="H87" s="118"/>
      <c r="I87" s="133">
        <f t="shared" si="12"/>
        <v>0</v>
      </c>
      <c r="J87" s="118"/>
      <c r="K87" s="118">
        <f t="shared" si="13"/>
        <v>0</v>
      </c>
    </row>
    <row r="88" spans="1:11" ht="18" customHeight="1" x14ac:dyDescent="0.2">
      <c r="A88" s="435" t="s">
        <v>115</v>
      </c>
      <c r="B88" s="419" t="s">
        <v>116</v>
      </c>
      <c r="F88" s="221"/>
      <c r="G88" s="221"/>
      <c r="H88" s="118">
        <v>24127</v>
      </c>
      <c r="I88" s="133">
        <f t="shared" si="12"/>
        <v>15231.375099999999</v>
      </c>
      <c r="J88" s="118">
        <v>24127</v>
      </c>
      <c r="K88" s="118">
        <f t="shared" si="13"/>
        <v>15231.375099999997</v>
      </c>
    </row>
    <row r="89" spans="1:11" ht="18" customHeight="1" x14ac:dyDescent="0.2">
      <c r="A89" s="435" t="s">
        <v>117</v>
      </c>
      <c r="B89" s="419" t="s">
        <v>58</v>
      </c>
      <c r="F89" s="221"/>
      <c r="G89" s="221"/>
      <c r="H89" s="118"/>
      <c r="I89" s="133">
        <f t="shared" si="12"/>
        <v>0</v>
      </c>
      <c r="J89" s="118"/>
      <c r="K89" s="118">
        <f t="shared" si="13"/>
        <v>0</v>
      </c>
    </row>
    <row r="90" spans="1:11" ht="18" customHeight="1" x14ac:dyDescent="0.2">
      <c r="A90" s="435" t="s">
        <v>118</v>
      </c>
      <c r="B90" s="465" t="s">
        <v>59</v>
      </c>
      <c r="C90" s="466"/>
      <c r="F90" s="221"/>
      <c r="G90" s="221"/>
      <c r="H90" s="118"/>
      <c r="I90" s="133">
        <f t="shared" si="12"/>
        <v>0</v>
      </c>
      <c r="J90" s="118"/>
      <c r="K90" s="118">
        <f t="shared" si="13"/>
        <v>0</v>
      </c>
    </row>
    <row r="91" spans="1:11" ht="18" customHeight="1" x14ac:dyDescent="0.2">
      <c r="A91" s="435" t="s">
        <v>119</v>
      </c>
      <c r="B91" s="419" t="s">
        <v>60</v>
      </c>
      <c r="F91" s="221">
        <v>2116</v>
      </c>
      <c r="G91" s="221"/>
      <c r="H91" s="118">
        <v>101494</v>
      </c>
      <c r="I91" s="133">
        <f t="shared" si="12"/>
        <v>64073.162199999999</v>
      </c>
      <c r="J91" s="118">
        <v>95084</v>
      </c>
      <c r="K91" s="118">
        <f t="shared" si="13"/>
        <v>70483.162199999992</v>
      </c>
    </row>
    <row r="92" spans="1:11" ht="18" customHeight="1" x14ac:dyDescent="0.2">
      <c r="A92" s="435" t="s">
        <v>120</v>
      </c>
      <c r="B92" s="419" t="s">
        <v>121</v>
      </c>
      <c r="F92" s="257"/>
      <c r="G92" s="257"/>
      <c r="H92" s="429"/>
      <c r="I92" s="133">
        <f t="shared" si="12"/>
        <v>0</v>
      </c>
      <c r="J92" s="429"/>
      <c r="K92" s="118">
        <f t="shared" si="13"/>
        <v>0</v>
      </c>
    </row>
    <row r="93" spans="1:11" ht="18" customHeight="1" x14ac:dyDescent="0.2">
      <c r="A93" s="435" t="s">
        <v>122</v>
      </c>
      <c r="B93" s="419" t="s">
        <v>123</v>
      </c>
      <c r="F93" s="221">
        <v>3229</v>
      </c>
      <c r="G93" s="221"/>
      <c r="H93" s="118">
        <v>405366</v>
      </c>
      <c r="I93" s="133">
        <f t="shared" si="12"/>
        <v>255907.5558</v>
      </c>
      <c r="J93" s="118">
        <v>136479</v>
      </c>
      <c r="K93" s="118">
        <f t="shared" si="13"/>
        <v>524794.55579999997</v>
      </c>
    </row>
    <row r="94" spans="1:11" ht="18" customHeight="1" x14ac:dyDescent="0.2">
      <c r="A94" s="435" t="s">
        <v>124</v>
      </c>
      <c r="B94" s="418"/>
      <c r="C94" s="417"/>
      <c r="D94" s="412"/>
      <c r="F94" s="221"/>
      <c r="G94" s="221"/>
      <c r="H94" s="118"/>
      <c r="I94" s="133">
        <f t="shared" si="12"/>
        <v>0</v>
      </c>
      <c r="J94" s="118"/>
      <c r="K94" s="118">
        <f t="shared" si="13"/>
        <v>0</v>
      </c>
    </row>
    <row r="95" spans="1:11" ht="18" customHeight="1" x14ac:dyDescent="0.2">
      <c r="A95" s="435" t="s">
        <v>125</v>
      </c>
      <c r="B95" s="418"/>
      <c r="C95" s="417"/>
      <c r="D95" s="412"/>
      <c r="F95" s="221"/>
      <c r="G95" s="221"/>
      <c r="H95" s="118"/>
      <c r="I95" s="133">
        <f t="shared" si="12"/>
        <v>0</v>
      </c>
      <c r="J95" s="118"/>
      <c r="K95" s="118">
        <f t="shared" si="13"/>
        <v>0</v>
      </c>
    </row>
    <row r="96" spans="1:11" ht="18" customHeight="1" x14ac:dyDescent="0.2">
      <c r="A96" s="435" t="s">
        <v>126</v>
      </c>
      <c r="B96" s="418"/>
      <c r="C96" s="417"/>
      <c r="D96" s="412"/>
      <c r="F96" s="221"/>
      <c r="G96" s="221"/>
      <c r="H96" s="118"/>
      <c r="I96" s="133">
        <f t="shared" si="12"/>
        <v>0</v>
      </c>
      <c r="J96" s="118"/>
      <c r="K96" s="118">
        <f t="shared" si="13"/>
        <v>0</v>
      </c>
    </row>
    <row r="97" spans="1:11" ht="18" customHeight="1" x14ac:dyDescent="0.2">
      <c r="A97" s="435"/>
      <c r="B97" s="419"/>
    </row>
    <row r="98" spans="1:11" ht="18" customHeight="1" x14ac:dyDescent="0.2">
      <c r="A98" s="455" t="s">
        <v>150</v>
      </c>
      <c r="B98" s="421" t="s">
        <v>151</v>
      </c>
      <c r="E98" s="421" t="s">
        <v>7</v>
      </c>
      <c r="F98" s="221">
        <f t="shared" ref="F98:K98" si="14">SUM(F86:F96)</f>
        <v>6627</v>
      </c>
      <c r="G98" s="221">
        <f t="shared" si="14"/>
        <v>0</v>
      </c>
      <c r="H98" s="221">
        <f t="shared" si="14"/>
        <v>585708</v>
      </c>
      <c r="I98" s="221">
        <f t="shared" si="14"/>
        <v>369757.46039999998</v>
      </c>
      <c r="J98" s="221">
        <f t="shared" si="14"/>
        <v>309562</v>
      </c>
      <c r="K98" s="221">
        <f t="shared" si="14"/>
        <v>645903.46039999998</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2295</v>
      </c>
      <c r="G102" s="221"/>
      <c r="H102" s="118">
        <v>274823</v>
      </c>
      <c r="I102" s="133">
        <f>H102*F$114</f>
        <v>173495.7599</v>
      </c>
      <c r="J102" s="118"/>
      <c r="K102" s="118">
        <f>(H102+I102)-J102</f>
        <v>448318.7599</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5">SUM(F102:F106)</f>
        <v>2295</v>
      </c>
      <c r="G108" s="221">
        <f t="shared" si="15"/>
        <v>0</v>
      </c>
      <c r="H108" s="118">
        <f t="shared" si="15"/>
        <v>274823</v>
      </c>
      <c r="I108" s="118">
        <f t="shared" si="15"/>
        <v>173495.7599</v>
      </c>
      <c r="J108" s="118">
        <f t="shared" si="15"/>
        <v>0</v>
      </c>
      <c r="K108" s="118">
        <f t="shared" si="15"/>
        <v>448318.7599</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6360600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0.63129999999999997</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755055000</v>
      </c>
    </row>
    <row r="118" spans="1:6" ht="18" customHeight="1" x14ac:dyDescent="0.2">
      <c r="A118" s="435" t="s">
        <v>173</v>
      </c>
      <c r="B118" s="259" t="s">
        <v>18</v>
      </c>
      <c r="F118" s="118">
        <f>3236000+29093000</f>
        <v>32329000</v>
      </c>
    </row>
    <row r="119" spans="1:6" ht="18" customHeight="1" x14ac:dyDescent="0.2">
      <c r="A119" s="435" t="s">
        <v>174</v>
      </c>
      <c r="B119" s="421" t="s">
        <v>19</v>
      </c>
      <c r="F119" s="118">
        <f>SUM(F117:F118)</f>
        <v>787384000</v>
      </c>
    </row>
    <row r="120" spans="1:6" ht="18" customHeight="1" x14ac:dyDescent="0.2">
      <c r="A120" s="435"/>
      <c r="B120" s="421"/>
    </row>
    <row r="121" spans="1:6" ht="18" customHeight="1" x14ac:dyDescent="0.2">
      <c r="A121" s="435" t="s">
        <v>167</v>
      </c>
      <c r="B121" s="421" t="s">
        <v>36</v>
      </c>
      <c r="F121" s="118">
        <v>752831000</v>
      </c>
    </row>
    <row r="122" spans="1:6" ht="18" customHeight="1" x14ac:dyDescent="0.2">
      <c r="A122" s="435"/>
    </row>
    <row r="123" spans="1:6" ht="18" customHeight="1" x14ac:dyDescent="0.2">
      <c r="A123" s="435" t="s">
        <v>175</v>
      </c>
      <c r="B123" s="421" t="s">
        <v>20</v>
      </c>
      <c r="F123" s="118">
        <f>F119-F121</f>
        <v>34553000</v>
      </c>
    </row>
    <row r="124" spans="1:6" ht="18" customHeight="1" x14ac:dyDescent="0.2">
      <c r="A124" s="435"/>
    </row>
    <row r="125" spans="1:6" ht="18" customHeight="1" x14ac:dyDescent="0.2">
      <c r="A125" s="435" t="s">
        <v>176</v>
      </c>
      <c r="B125" s="421" t="s">
        <v>21</v>
      </c>
      <c r="F125" s="118">
        <v>23992000</v>
      </c>
    </row>
    <row r="126" spans="1:6" ht="18" customHeight="1" x14ac:dyDescent="0.2">
      <c r="A126" s="435"/>
    </row>
    <row r="127" spans="1:6" ht="18" customHeight="1" x14ac:dyDescent="0.2">
      <c r="A127" s="435" t="s">
        <v>177</v>
      </c>
      <c r="B127" s="421" t="s">
        <v>22</v>
      </c>
      <c r="F127" s="118">
        <f>F123+F125</f>
        <v>58545000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6">SUM(F131:F135)</f>
        <v>0</v>
      </c>
      <c r="G137" s="221">
        <f t="shared" si="16"/>
        <v>0</v>
      </c>
      <c r="H137" s="118">
        <f t="shared" si="16"/>
        <v>0</v>
      </c>
      <c r="I137" s="118">
        <f t="shared" si="16"/>
        <v>0</v>
      </c>
      <c r="J137" s="118">
        <f t="shared" si="16"/>
        <v>0</v>
      </c>
      <c r="K137" s="118">
        <f t="shared" si="16"/>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7">F36</f>
        <v>54098</v>
      </c>
      <c r="G141" s="422">
        <f t="shared" si="17"/>
        <v>5548</v>
      </c>
      <c r="H141" s="422">
        <f t="shared" si="17"/>
        <v>2852087</v>
      </c>
      <c r="I141" s="422">
        <f t="shared" si="17"/>
        <v>1800522.5230999999</v>
      </c>
      <c r="J141" s="422">
        <f t="shared" si="17"/>
        <v>1464226</v>
      </c>
      <c r="K141" s="422">
        <f t="shared" si="17"/>
        <v>3188383.5230999994</v>
      </c>
    </row>
    <row r="142" spans="1:11" ht="18" customHeight="1" x14ac:dyDescent="0.2">
      <c r="A142" s="435" t="s">
        <v>142</v>
      </c>
      <c r="B142" s="421" t="s">
        <v>65</v>
      </c>
      <c r="F142" s="422">
        <f t="shared" ref="F142:K142" si="18">F49</f>
        <v>368744</v>
      </c>
      <c r="G142" s="422">
        <f t="shared" si="18"/>
        <v>144</v>
      </c>
      <c r="H142" s="422">
        <f t="shared" si="18"/>
        <v>14873072</v>
      </c>
      <c r="I142" s="422">
        <f t="shared" si="18"/>
        <v>9389370.353600001</v>
      </c>
      <c r="J142" s="422">
        <f t="shared" si="18"/>
        <v>102000</v>
      </c>
      <c r="K142" s="422">
        <f t="shared" si="18"/>
        <v>24160442.353599999</v>
      </c>
    </row>
    <row r="143" spans="1:11" ht="18" customHeight="1" x14ac:dyDescent="0.2">
      <c r="A143" s="435" t="s">
        <v>144</v>
      </c>
      <c r="B143" s="421" t="s">
        <v>66</v>
      </c>
      <c r="F143" s="422">
        <f t="shared" ref="F143:K143" si="19">F64</f>
        <v>13851</v>
      </c>
      <c r="G143" s="422">
        <f t="shared" si="19"/>
        <v>0</v>
      </c>
      <c r="H143" s="422">
        <f t="shared" si="19"/>
        <v>13510643</v>
      </c>
      <c r="I143" s="422">
        <f t="shared" si="19"/>
        <v>8529268.9258999992</v>
      </c>
      <c r="J143" s="422">
        <f t="shared" si="19"/>
        <v>2316127</v>
      </c>
      <c r="K143" s="422">
        <f t="shared" si="19"/>
        <v>19723784.925899997</v>
      </c>
    </row>
    <row r="144" spans="1:11" ht="18" customHeight="1" x14ac:dyDescent="0.2">
      <c r="A144" s="435" t="s">
        <v>146</v>
      </c>
      <c r="B144" s="421" t="s">
        <v>67</v>
      </c>
      <c r="F144" s="422">
        <f t="shared" ref="F144:K144" si="20">F74</f>
        <v>7877</v>
      </c>
      <c r="G144" s="422">
        <f t="shared" si="20"/>
        <v>0</v>
      </c>
      <c r="H144" s="422">
        <f t="shared" si="20"/>
        <v>1246536</v>
      </c>
      <c r="I144" s="422">
        <f t="shared" si="20"/>
        <v>241427.4277</v>
      </c>
      <c r="J144" s="422">
        <f t="shared" si="20"/>
        <v>560753</v>
      </c>
      <c r="K144" s="422">
        <f t="shared" si="20"/>
        <v>927210.4277</v>
      </c>
    </row>
    <row r="145" spans="1:11" ht="18" customHeight="1" x14ac:dyDescent="0.2">
      <c r="A145" s="435" t="s">
        <v>148</v>
      </c>
      <c r="B145" s="421" t="s">
        <v>68</v>
      </c>
      <c r="F145" s="422">
        <f t="shared" ref="F145:K145" si="21">F82</f>
        <v>116</v>
      </c>
      <c r="G145" s="422">
        <f t="shared" si="21"/>
        <v>236</v>
      </c>
      <c r="H145" s="422">
        <f t="shared" si="21"/>
        <v>882946</v>
      </c>
      <c r="I145" s="422">
        <f t="shared" si="21"/>
        <v>0</v>
      </c>
      <c r="J145" s="422">
        <f t="shared" si="21"/>
        <v>0</v>
      </c>
      <c r="K145" s="422">
        <f t="shared" si="21"/>
        <v>882946</v>
      </c>
    </row>
    <row r="146" spans="1:11" ht="18" customHeight="1" x14ac:dyDescent="0.2">
      <c r="A146" s="435" t="s">
        <v>150</v>
      </c>
      <c r="B146" s="421" t="s">
        <v>69</v>
      </c>
      <c r="F146" s="422">
        <f t="shared" ref="F146:K146" si="22">F98</f>
        <v>6627</v>
      </c>
      <c r="G146" s="422">
        <f t="shared" si="22"/>
        <v>0</v>
      </c>
      <c r="H146" s="422">
        <f t="shared" si="22"/>
        <v>585708</v>
      </c>
      <c r="I146" s="422">
        <f t="shared" si="22"/>
        <v>369757.46039999998</v>
      </c>
      <c r="J146" s="422">
        <f t="shared" si="22"/>
        <v>309562</v>
      </c>
      <c r="K146" s="422">
        <f t="shared" si="22"/>
        <v>645903.46039999998</v>
      </c>
    </row>
    <row r="147" spans="1:11" ht="18" customHeight="1" x14ac:dyDescent="0.2">
      <c r="A147" s="435" t="s">
        <v>153</v>
      </c>
      <c r="B147" s="421" t="s">
        <v>61</v>
      </c>
      <c r="F147" s="221">
        <f t="shared" ref="F147:K147" si="23">F108</f>
        <v>2295</v>
      </c>
      <c r="G147" s="221">
        <f t="shared" si="23"/>
        <v>0</v>
      </c>
      <c r="H147" s="221">
        <f t="shared" si="23"/>
        <v>274823</v>
      </c>
      <c r="I147" s="221">
        <f t="shared" si="23"/>
        <v>173495.7599</v>
      </c>
      <c r="J147" s="221">
        <f t="shared" si="23"/>
        <v>0</v>
      </c>
      <c r="K147" s="221">
        <f t="shared" si="23"/>
        <v>448318.7599</v>
      </c>
    </row>
    <row r="148" spans="1:11" ht="18" customHeight="1" x14ac:dyDescent="0.2">
      <c r="A148" s="435" t="s">
        <v>155</v>
      </c>
      <c r="B148" s="421" t="s">
        <v>70</v>
      </c>
      <c r="F148" s="485" t="s">
        <v>73</v>
      </c>
      <c r="G148" s="485" t="s">
        <v>73</v>
      </c>
      <c r="H148" s="486" t="s">
        <v>73</v>
      </c>
      <c r="I148" s="486" t="s">
        <v>73</v>
      </c>
      <c r="J148" s="486" t="s">
        <v>73</v>
      </c>
      <c r="K148" s="423">
        <f>F111</f>
        <v>6360600</v>
      </c>
    </row>
    <row r="149" spans="1:11" ht="18" customHeight="1" x14ac:dyDescent="0.2">
      <c r="A149" s="435" t="s">
        <v>163</v>
      </c>
      <c r="B149" s="421" t="s">
        <v>71</v>
      </c>
      <c r="F149" s="221">
        <f t="shared" ref="F149:K149" si="24">F137</f>
        <v>0</v>
      </c>
      <c r="G149" s="221">
        <f t="shared" si="24"/>
        <v>0</v>
      </c>
      <c r="H149" s="221">
        <f t="shared" si="24"/>
        <v>0</v>
      </c>
      <c r="I149" s="221">
        <f t="shared" si="24"/>
        <v>0</v>
      </c>
      <c r="J149" s="221">
        <f t="shared" si="24"/>
        <v>0</v>
      </c>
      <c r="K149" s="221">
        <f t="shared" si="24"/>
        <v>0</v>
      </c>
    </row>
    <row r="150" spans="1:11" ht="18" customHeight="1" x14ac:dyDescent="0.2">
      <c r="A150" s="435" t="s">
        <v>185</v>
      </c>
      <c r="B150" s="421" t="s">
        <v>186</v>
      </c>
      <c r="F150" s="485" t="s">
        <v>73</v>
      </c>
      <c r="G150" s="485" t="s">
        <v>73</v>
      </c>
      <c r="H150" s="221">
        <f>H18</f>
        <v>16637288</v>
      </c>
      <c r="I150" s="221">
        <f>I18</f>
        <v>0</v>
      </c>
      <c r="J150" s="221">
        <f>J18</f>
        <v>14061791</v>
      </c>
      <c r="K150" s="221">
        <f>K18</f>
        <v>2575497</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5">SUM(F141:F150)</f>
        <v>453608</v>
      </c>
      <c r="G152" s="487">
        <f t="shared" si="25"/>
        <v>5928</v>
      </c>
      <c r="H152" s="487">
        <f t="shared" si="25"/>
        <v>50863103</v>
      </c>
      <c r="I152" s="487">
        <f t="shared" si="25"/>
        <v>20503842.450600002</v>
      </c>
      <c r="J152" s="487">
        <f t="shared" si="25"/>
        <v>18814459</v>
      </c>
      <c r="K152" s="487">
        <f t="shared" si="25"/>
        <v>58913086.450599998</v>
      </c>
    </row>
    <row r="154" spans="1:11" ht="18" customHeight="1" x14ac:dyDescent="0.2">
      <c r="A154" s="455" t="s">
        <v>168</v>
      </c>
      <c r="B154" s="421" t="s">
        <v>28</v>
      </c>
      <c r="F154" s="140">
        <f>K152/F121</f>
        <v>7.8255393907264714E-2</v>
      </c>
    </row>
    <row r="155" spans="1:11" ht="18" customHeight="1" x14ac:dyDescent="0.2">
      <c r="A155" s="455" t="s">
        <v>169</v>
      </c>
      <c r="B155" s="421" t="s">
        <v>72</v>
      </c>
      <c r="F155" s="140">
        <f>K152/F127</f>
        <v>1.0062872397403706</v>
      </c>
      <c r="G155" s="421"/>
    </row>
    <row r="156" spans="1:11" ht="18" customHeight="1" x14ac:dyDescent="0.2">
      <c r="G156" s="421"/>
    </row>
  </sheetData>
  <sheetProtection algorithmName="SHA-512" hashValue="vq2y1J1QX/TyuY1A8GR5TcZeuJbh1UYZYrv1IDPDVE83E4ZvJcuJCnLRslqoCjfdrKQTCFSdVeL3zD0sCokwIw==" saltValue="F3GpfSBtf01EXhSEdJEX6w==" spinCount="100000" sheet="1" objects="1" scenarios="1"/>
  <mergeCells count="34">
    <mergeCell ref="C5:G5"/>
    <mergeCell ref="C6:G6"/>
    <mergeCell ref="C7:G7"/>
    <mergeCell ref="C9:G9"/>
    <mergeCell ref="C10:G10"/>
    <mergeCell ref="B34:D34"/>
    <mergeCell ref="C11:G11"/>
    <mergeCell ref="B41:C41"/>
    <mergeCell ref="B44:D44"/>
    <mergeCell ref="B13:H13"/>
    <mergeCell ref="B30:D30"/>
    <mergeCell ref="B31:D31"/>
    <mergeCell ref="B134:D134"/>
    <mergeCell ref="B135:D135"/>
    <mergeCell ref="B133:D133"/>
    <mergeCell ref="B104:D104"/>
    <mergeCell ref="B105:D105"/>
    <mergeCell ref="B106:D106"/>
    <mergeCell ref="D2:H2"/>
    <mergeCell ref="B103:C103"/>
    <mergeCell ref="B96:D96"/>
    <mergeCell ref="B95:D95"/>
    <mergeCell ref="B57:D57"/>
    <mergeCell ref="B94:D94"/>
    <mergeCell ref="B52:C52"/>
    <mergeCell ref="B90:C90"/>
    <mergeCell ref="B53:D53"/>
    <mergeCell ref="B55:D55"/>
    <mergeCell ref="B56:D56"/>
    <mergeCell ref="B59:D59"/>
    <mergeCell ref="B62:D62"/>
    <mergeCell ref="B45:D45"/>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156"/>
  <sheetViews>
    <sheetView showGridLines="0" zoomScale="85" zoomScaleNormal="85"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2" width="17.7109375" style="629" bestFit="1" customWidth="1"/>
    <col min="13"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549</v>
      </c>
      <c r="D5" s="437"/>
      <c r="E5" s="437"/>
      <c r="F5" s="437"/>
      <c r="G5" s="438"/>
    </row>
    <row r="6" spans="1:11" ht="18" customHeight="1" x14ac:dyDescent="0.2">
      <c r="B6" s="435" t="s">
        <v>3</v>
      </c>
      <c r="C6" s="439">
        <v>210013</v>
      </c>
      <c r="D6" s="440"/>
      <c r="E6" s="440"/>
      <c r="F6" s="440"/>
      <c r="G6" s="441"/>
    </row>
    <row r="7" spans="1:11" ht="18" customHeight="1" x14ac:dyDescent="0.2">
      <c r="B7" s="435" t="s">
        <v>4</v>
      </c>
      <c r="C7" s="492">
        <v>589</v>
      </c>
      <c r="D7" s="493"/>
      <c r="E7" s="493"/>
      <c r="F7" s="493"/>
      <c r="G7" s="494"/>
      <c r="H7" s="629"/>
    </row>
    <row r="9" spans="1:11" ht="18" customHeight="1" x14ac:dyDescent="0.2">
      <c r="B9" s="435" t="s">
        <v>1</v>
      </c>
      <c r="C9" s="436" t="s">
        <v>446</v>
      </c>
      <c r="D9" s="437"/>
      <c r="E9" s="437"/>
      <c r="F9" s="437"/>
      <c r="G9" s="438"/>
    </row>
    <row r="10" spans="1:11" ht="18" customHeight="1" x14ac:dyDescent="0.2">
      <c r="B10" s="435" t="s">
        <v>2</v>
      </c>
      <c r="C10" s="445" t="s">
        <v>245</v>
      </c>
      <c r="D10" s="446"/>
      <c r="E10" s="446"/>
      <c r="F10" s="446"/>
      <c r="G10" s="447"/>
    </row>
    <row r="11" spans="1:11" ht="18" customHeight="1" x14ac:dyDescent="0.2">
      <c r="B11" s="435" t="s">
        <v>32</v>
      </c>
      <c r="C11" s="495" t="s">
        <v>625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c r="H17" s="629"/>
      <c r="I17" s="629"/>
      <c r="J17" s="629"/>
    </row>
    <row r="18" spans="1:11" ht="18" customHeight="1" x14ac:dyDescent="0.2">
      <c r="A18" s="435" t="s">
        <v>185</v>
      </c>
      <c r="B18" s="419" t="s">
        <v>183</v>
      </c>
      <c r="F18" s="221" t="s">
        <v>73</v>
      </c>
      <c r="G18" s="221" t="s">
        <v>73</v>
      </c>
      <c r="H18" s="118">
        <v>2600856</v>
      </c>
      <c r="I18" s="133">
        <v>0</v>
      </c>
      <c r="J18" s="118">
        <v>2198237</v>
      </c>
      <c r="K18" s="118">
        <f>(H18+I18)-J18</f>
        <v>402619</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c r="F20" s="629"/>
      <c r="G20" s="629"/>
      <c r="H20" s="629"/>
      <c r="I20" s="629"/>
      <c r="J20" s="629"/>
      <c r="K20" s="629"/>
    </row>
    <row r="21" spans="1:11" ht="18" customHeight="1" x14ac:dyDescent="0.2">
      <c r="A21" s="435" t="s">
        <v>75</v>
      </c>
      <c r="B21" s="419" t="s">
        <v>42</v>
      </c>
      <c r="F21" s="221">
        <v>4360</v>
      </c>
      <c r="G21" s="221">
        <v>11387</v>
      </c>
      <c r="H21" s="118">
        <v>233385</v>
      </c>
      <c r="I21" s="133">
        <f t="shared" ref="I21:I34" si="0">H21*F$114</f>
        <v>241506.79799999998</v>
      </c>
      <c r="J21" s="118">
        <v>0</v>
      </c>
      <c r="K21" s="118">
        <f t="shared" ref="K21:K34" si="1">(H21+I21)-J21</f>
        <v>474891.79799999995</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v>214674</v>
      </c>
      <c r="G24" s="221">
        <v>244020</v>
      </c>
      <c r="H24" s="118">
        <v>8661395</v>
      </c>
      <c r="I24" s="133">
        <f t="shared" si="0"/>
        <v>8962811.5460000001</v>
      </c>
      <c r="J24" s="118">
        <v>7887819</v>
      </c>
      <c r="K24" s="118">
        <f t="shared" si="1"/>
        <v>9736387.5460000001</v>
      </c>
    </row>
    <row r="25" spans="1:11" ht="18" customHeight="1" x14ac:dyDescent="0.2">
      <c r="A25" s="435" t="s">
        <v>79</v>
      </c>
      <c r="B25" s="259" t="s">
        <v>5</v>
      </c>
      <c r="F25" s="221"/>
      <c r="G25" s="221"/>
      <c r="H25" s="118"/>
      <c r="I25" s="133">
        <f t="shared" si="0"/>
        <v>0</v>
      </c>
      <c r="J25" s="118"/>
      <c r="K25" s="118">
        <f t="shared" si="1"/>
        <v>0</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c r="G29" s="221"/>
      <c r="H29" s="118"/>
      <c r="I29" s="133">
        <f t="shared" si="0"/>
        <v>0</v>
      </c>
      <c r="J29" s="118"/>
      <c r="K29" s="118">
        <f t="shared" si="1"/>
        <v>0</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219034</v>
      </c>
      <c r="G36" s="221">
        <f t="shared" si="2"/>
        <v>255407</v>
      </c>
      <c r="H36" s="221">
        <f t="shared" si="2"/>
        <v>8894780</v>
      </c>
      <c r="I36" s="118">
        <f t="shared" si="2"/>
        <v>9204318.3440000005</v>
      </c>
      <c r="J36" s="118">
        <f t="shared" si="2"/>
        <v>7887819</v>
      </c>
      <c r="K36" s="118">
        <f t="shared" si="2"/>
        <v>10211279.344000001</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c r="F39" s="629"/>
      <c r="G39" s="629"/>
      <c r="H39" s="629"/>
      <c r="I39" s="629"/>
      <c r="J39" s="629"/>
      <c r="K39" s="629"/>
    </row>
    <row r="40" spans="1:11" ht="18" customHeight="1" x14ac:dyDescent="0.2">
      <c r="A40" s="435" t="s">
        <v>87</v>
      </c>
      <c r="B40" s="259" t="s">
        <v>31</v>
      </c>
      <c r="F40" s="221"/>
      <c r="G40" s="221"/>
      <c r="H40" s="118"/>
      <c r="I40" s="133">
        <f t="shared" ref="I40:I47" si="3">H40*F$114</f>
        <v>0</v>
      </c>
      <c r="J40" s="118"/>
      <c r="K40" s="118">
        <f t="shared" ref="K40:K47" si="4">(H40+I40)-J40</f>
        <v>0</v>
      </c>
    </row>
    <row r="41" spans="1:11" ht="18" customHeight="1" x14ac:dyDescent="0.2">
      <c r="A41" s="435" t="s">
        <v>88</v>
      </c>
      <c r="B41" s="465" t="s">
        <v>50</v>
      </c>
      <c r="C41" s="466"/>
      <c r="F41" s="221"/>
      <c r="G41" s="221"/>
      <c r="H41" s="118"/>
      <c r="I41" s="133">
        <f t="shared" si="3"/>
        <v>0</v>
      </c>
      <c r="J41" s="118"/>
      <c r="K41" s="118">
        <f t="shared" si="4"/>
        <v>0</v>
      </c>
    </row>
    <row r="42" spans="1:11" ht="18" customHeight="1" x14ac:dyDescent="0.2">
      <c r="A42" s="435" t="s">
        <v>89</v>
      </c>
      <c r="B42" s="419" t="s">
        <v>11</v>
      </c>
      <c r="F42" s="221"/>
      <c r="G42" s="221"/>
      <c r="H42" s="118"/>
      <c r="I42" s="133">
        <f t="shared" si="3"/>
        <v>0</v>
      </c>
      <c r="J42" s="118"/>
      <c r="K42" s="118">
        <f t="shared" si="4"/>
        <v>0</v>
      </c>
    </row>
    <row r="43" spans="1:11" ht="18" customHeight="1" x14ac:dyDescent="0.2">
      <c r="A43" s="435" t="s">
        <v>90</v>
      </c>
      <c r="B43" s="467" t="s">
        <v>10</v>
      </c>
      <c r="C43" s="468"/>
      <c r="D43" s="468"/>
      <c r="F43" s="221"/>
      <c r="G43" s="221"/>
      <c r="H43" s="118"/>
      <c r="I43" s="133">
        <f t="shared" si="3"/>
        <v>0</v>
      </c>
      <c r="J43" s="118"/>
      <c r="K43" s="118">
        <f t="shared" si="4"/>
        <v>0</v>
      </c>
    </row>
    <row r="44" spans="1:11" ht="18" customHeight="1" x14ac:dyDescent="0.2">
      <c r="A44" s="435" t="s">
        <v>91</v>
      </c>
      <c r="B44" s="456"/>
      <c r="C44" s="457"/>
      <c r="D44" s="458"/>
      <c r="F44" s="407"/>
      <c r="G44" s="407"/>
      <c r="H44" s="407"/>
      <c r="I44" s="408">
        <f t="shared" si="3"/>
        <v>0</v>
      </c>
      <c r="J44" s="407"/>
      <c r="K44" s="134">
        <f t="shared" si="4"/>
        <v>0</v>
      </c>
    </row>
    <row r="45" spans="1:11" ht="18" customHeight="1" x14ac:dyDescent="0.2">
      <c r="A45" s="435" t="s">
        <v>139</v>
      </c>
      <c r="B45" s="456"/>
      <c r="C45" s="457"/>
      <c r="D45" s="458"/>
      <c r="F45" s="221"/>
      <c r="G45" s="221"/>
      <c r="H45" s="118"/>
      <c r="I45" s="133">
        <f t="shared" si="3"/>
        <v>0</v>
      </c>
      <c r="J45" s="118"/>
      <c r="K45" s="118">
        <f t="shared" si="4"/>
        <v>0</v>
      </c>
    </row>
    <row r="46" spans="1:11" ht="18" customHeight="1" x14ac:dyDescent="0.2">
      <c r="A46" s="435" t="s">
        <v>140</v>
      </c>
      <c r="B46" s="456"/>
      <c r="C46" s="457"/>
      <c r="D46" s="458"/>
      <c r="F46" s="221"/>
      <c r="G46" s="221"/>
      <c r="H46" s="118"/>
      <c r="I46" s="133">
        <f t="shared" si="3"/>
        <v>0</v>
      </c>
      <c r="J46" s="118"/>
      <c r="K46" s="118">
        <f t="shared" si="4"/>
        <v>0</v>
      </c>
    </row>
    <row r="47" spans="1:11" ht="18" customHeight="1" x14ac:dyDescent="0.2">
      <c r="A47" s="435" t="s">
        <v>141</v>
      </c>
      <c r="B47" s="456"/>
      <c r="C47" s="457"/>
      <c r="D47" s="458"/>
      <c r="F47" s="221"/>
      <c r="G47" s="221"/>
      <c r="H47" s="118"/>
      <c r="I47" s="133">
        <f t="shared" si="3"/>
        <v>0</v>
      </c>
      <c r="J47" s="118"/>
      <c r="K47" s="118">
        <f t="shared" si="4"/>
        <v>0</v>
      </c>
    </row>
    <row r="49" spans="1:11" ht="18" customHeight="1" x14ac:dyDescent="0.2">
      <c r="A49" s="455" t="s">
        <v>142</v>
      </c>
      <c r="B49" s="421" t="s">
        <v>143</v>
      </c>
      <c r="E49" s="421" t="s">
        <v>7</v>
      </c>
      <c r="F49" s="409">
        <f t="shared" ref="F49:K49" si="5">SUM(F40:F47)</f>
        <v>0</v>
      </c>
      <c r="G49" s="409">
        <f t="shared" si="5"/>
        <v>0</v>
      </c>
      <c r="H49" s="118">
        <f t="shared" si="5"/>
        <v>0</v>
      </c>
      <c r="I49" s="118">
        <f t="shared" si="5"/>
        <v>0</v>
      </c>
      <c r="J49" s="118">
        <f t="shared" si="5"/>
        <v>0</v>
      </c>
      <c r="K49" s="118">
        <f t="shared" si="5"/>
        <v>0</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c r="F52" s="629"/>
      <c r="G52" s="629"/>
      <c r="H52" s="629"/>
      <c r="I52" s="629"/>
      <c r="J52" s="629"/>
      <c r="K52" s="629"/>
    </row>
    <row r="53" spans="1:11" ht="18" customHeight="1" x14ac:dyDescent="0.2">
      <c r="A53" s="435" t="s">
        <v>51</v>
      </c>
      <c r="B53" s="491" t="s">
        <v>250</v>
      </c>
      <c r="C53" s="411"/>
      <c r="D53" s="412"/>
      <c r="F53" s="221">
        <v>13042</v>
      </c>
      <c r="G53" s="221">
        <v>40041</v>
      </c>
      <c r="H53" s="118">
        <v>311247</v>
      </c>
      <c r="I53" s="133">
        <f t="shared" ref="I53:I62" si="6">H53*F$114</f>
        <v>322078.39559999999</v>
      </c>
      <c r="J53" s="118">
        <v>0</v>
      </c>
      <c r="K53" s="118">
        <f t="shared" ref="K53:K62" si="7">(H53+I53)-J53</f>
        <v>633325.39559999993</v>
      </c>
    </row>
    <row r="54" spans="1:11" ht="18" customHeight="1" x14ac:dyDescent="0.2">
      <c r="A54" s="435" t="s">
        <v>93</v>
      </c>
      <c r="B54" s="420"/>
      <c r="C54" s="414"/>
      <c r="D54" s="415"/>
      <c r="F54" s="221"/>
      <c r="G54" s="221"/>
      <c r="H54" s="118"/>
      <c r="I54" s="133">
        <f t="shared" si="6"/>
        <v>0</v>
      </c>
      <c r="J54" s="118"/>
      <c r="K54" s="118">
        <f t="shared" si="7"/>
        <v>0</v>
      </c>
    </row>
    <row r="55" spans="1:11" ht="18" customHeight="1" x14ac:dyDescent="0.2">
      <c r="A55" s="435" t="s">
        <v>94</v>
      </c>
      <c r="B55" s="418"/>
      <c r="C55" s="417"/>
      <c r="D55" s="412"/>
      <c r="F55" s="221"/>
      <c r="G55" s="221"/>
      <c r="H55" s="118"/>
      <c r="I55" s="133">
        <f t="shared" si="6"/>
        <v>0</v>
      </c>
      <c r="J55" s="118"/>
      <c r="K55" s="118">
        <f t="shared" si="7"/>
        <v>0</v>
      </c>
    </row>
    <row r="56" spans="1:11" ht="18" customHeight="1" x14ac:dyDescent="0.2">
      <c r="A56" s="435" t="s">
        <v>95</v>
      </c>
      <c r="B56" s="418"/>
      <c r="C56" s="417"/>
      <c r="D56" s="412"/>
      <c r="F56" s="221"/>
      <c r="G56" s="221"/>
      <c r="H56" s="118"/>
      <c r="I56" s="133">
        <f t="shared" si="6"/>
        <v>0</v>
      </c>
      <c r="J56" s="118"/>
      <c r="K56" s="118">
        <f t="shared" si="7"/>
        <v>0</v>
      </c>
    </row>
    <row r="57" spans="1:11" ht="18" customHeight="1" x14ac:dyDescent="0.2">
      <c r="A57" s="435" t="s">
        <v>96</v>
      </c>
      <c r="B57" s="418"/>
      <c r="C57" s="417"/>
      <c r="D57" s="412"/>
      <c r="F57" s="221"/>
      <c r="G57" s="221"/>
      <c r="H57" s="118"/>
      <c r="I57" s="133">
        <f t="shared" si="6"/>
        <v>0</v>
      </c>
      <c r="J57" s="118"/>
      <c r="K57" s="118">
        <f t="shared" si="7"/>
        <v>0</v>
      </c>
    </row>
    <row r="58" spans="1:11" ht="18" customHeight="1" x14ac:dyDescent="0.2">
      <c r="A58" s="435" t="s">
        <v>97</v>
      </c>
      <c r="B58" s="420"/>
      <c r="C58" s="414"/>
      <c r="D58" s="415"/>
      <c r="F58" s="221"/>
      <c r="G58" s="221"/>
      <c r="H58" s="118"/>
      <c r="I58" s="133">
        <f t="shared" si="6"/>
        <v>0</v>
      </c>
      <c r="J58" s="118"/>
      <c r="K58" s="118">
        <f t="shared" si="7"/>
        <v>0</v>
      </c>
    </row>
    <row r="59" spans="1:11" ht="18" customHeight="1" x14ac:dyDescent="0.2">
      <c r="A59" s="435" t="s">
        <v>98</v>
      </c>
      <c r="B59" s="418"/>
      <c r="C59" s="417"/>
      <c r="D59" s="412"/>
      <c r="F59" s="221"/>
      <c r="G59" s="221"/>
      <c r="H59" s="118"/>
      <c r="I59" s="133">
        <f t="shared" si="6"/>
        <v>0</v>
      </c>
      <c r="J59" s="118"/>
      <c r="K59" s="118">
        <f t="shared" si="7"/>
        <v>0</v>
      </c>
    </row>
    <row r="60" spans="1:11" ht="18" customHeight="1" x14ac:dyDescent="0.2">
      <c r="A60" s="435" t="s">
        <v>99</v>
      </c>
      <c r="B60" s="420"/>
      <c r="C60" s="414"/>
      <c r="D60" s="415"/>
      <c r="F60" s="221"/>
      <c r="G60" s="221"/>
      <c r="H60" s="118"/>
      <c r="I60" s="133">
        <f t="shared" si="6"/>
        <v>0</v>
      </c>
      <c r="J60" s="118"/>
      <c r="K60" s="118">
        <f t="shared" si="7"/>
        <v>0</v>
      </c>
    </row>
    <row r="61" spans="1:11" ht="18" customHeight="1" x14ac:dyDescent="0.2">
      <c r="A61" s="435" t="s">
        <v>100</v>
      </c>
      <c r="B61" s="420"/>
      <c r="C61" s="414"/>
      <c r="D61" s="415"/>
      <c r="F61" s="221"/>
      <c r="G61" s="221"/>
      <c r="H61" s="118"/>
      <c r="I61" s="133">
        <f t="shared" si="6"/>
        <v>0</v>
      </c>
      <c r="J61" s="118"/>
      <c r="K61" s="118">
        <f t="shared" si="7"/>
        <v>0</v>
      </c>
    </row>
    <row r="62" spans="1:11" ht="18" customHeight="1" x14ac:dyDescent="0.2">
      <c r="A62" s="435" t="s">
        <v>101</v>
      </c>
      <c r="B62" s="418"/>
      <c r="C62" s="417"/>
      <c r="D62" s="412"/>
      <c r="F62" s="221"/>
      <c r="G62" s="221"/>
      <c r="H62" s="118"/>
      <c r="I62" s="133">
        <f t="shared" si="6"/>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13042</v>
      </c>
      <c r="G64" s="221">
        <f t="shared" si="8"/>
        <v>40041</v>
      </c>
      <c r="H64" s="118">
        <f t="shared" si="8"/>
        <v>311247</v>
      </c>
      <c r="I64" s="118">
        <f t="shared" si="8"/>
        <v>322078.39559999999</v>
      </c>
      <c r="J64" s="118">
        <f t="shared" si="8"/>
        <v>0</v>
      </c>
      <c r="K64" s="118">
        <f t="shared" si="8"/>
        <v>633325.39559999993</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629"/>
      <c r="G67" s="629"/>
      <c r="H67" s="629"/>
      <c r="I67" s="629"/>
      <c r="J67" s="629"/>
      <c r="K67" s="629"/>
    </row>
    <row r="68" spans="1:11" ht="18" customHeight="1" x14ac:dyDescent="0.2">
      <c r="A68" s="435" t="s">
        <v>103</v>
      </c>
      <c r="B68" s="259" t="s">
        <v>52</v>
      </c>
      <c r="F68" s="122">
        <v>1472</v>
      </c>
      <c r="G68" s="122">
        <v>0</v>
      </c>
      <c r="H68" s="122">
        <v>104219</v>
      </c>
      <c r="I68" s="133">
        <f t="shared" ref="I68:I72" si="9">H68*F$114</f>
        <v>107845.82119999999</v>
      </c>
      <c r="J68" s="122">
        <v>91329</v>
      </c>
      <c r="K68" s="118">
        <f>(H68+I68)-J68</f>
        <v>120735.82120000001</v>
      </c>
    </row>
    <row r="69" spans="1:11" ht="18" customHeight="1" x14ac:dyDescent="0.2">
      <c r="A69" s="435" t="s">
        <v>104</v>
      </c>
      <c r="B69" s="419" t="s">
        <v>53</v>
      </c>
      <c r="F69" s="122"/>
      <c r="G69" s="122"/>
      <c r="H69" s="122"/>
      <c r="I69" s="133">
        <f t="shared" si="9"/>
        <v>0</v>
      </c>
      <c r="J69" s="122"/>
      <c r="K69" s="118">
        <f>(H69+I69)-J69</f>
        <v>0</v>
      </c>
    </row>
    <row r="70" spans="1:11" ht="18" customHeight="1" x14ac:dyDescent="0.2">
      <c r="A70" s="435" t="s">
        <v>178</v>
      </c>
      <c r="B70" s="420"/>
      <c r="C70" s="414"/>
      <c r="D70" s="415"/>
      <c r="E70" s="421"/>
      <c r="F70" s="422"/>
      <c r="G70" s="422"/>
      <c r="H70" s="423"/>
      <c r="I70" s="133">
        <f t="shared" si="9"/>
        <v>0</v>
      </c>
      <c r="J70" s="423"/>
      <c r="K70" s="118">
        <f>(H70+I70)-J70</f>
        <v>0</v>
      </c>
    </row>
    <row r="71" spans="1:11" ht="18" customHeight="1" x14ac:dyDescent="0.2">
      <c r="A71" s="435" t="s">
        <v>179</v>
      </c>
      <c r="B71" s="420"/>
      <c r="C71" s="414"/>
      <c r="D71" s="415"/>
      <c r="E71" s="421"/>
      <c r="F71" s="422"/>
      <c r="G71" s="422"/>
      <c r="H71" s="423"/>
      <c r="I71" s="133">
        <f t="shared" si="9"/>
        <v>0</v>
      </c>
      <c r="J71" s="423"/>
      <c r="K71" s="118">
        <f>(H71+I71)-J71</f>
        <v>0</v>
      </c>
    </row>
    <row r="72" spans="1:11" ht="18" customHeight="1" x14ac:dyDescent="0.2">
      <c r="A72" s="435" t="s">
        <v>180</v>
      </c>
      <c r="B72" s="424"/>
      <c r="C72" s="425"/>
      <c r="D72" s="426"/>
      <c r="E72" s="421"/>
      <c r="F72" s="221"/>
      <c r="G72" s="221"/>
      <c r="H72" s="118"/>
      <c r="I72" s="133">
        <f t="shared" si="9"/>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0">SUM(F68:F72)</f>
        <v>1472</v>
      </c>
      <c r="G74" s="122">
        <f t="shared" si="10"/>
        <v>0</v>
      </c>
      <c r="H74" s="122">
        <f t="shared" si="10"/>
        <v>104219</v>
      </c>
      <c r="I74" s="133">
        <f t="shared" si="10"/>
        <v>107845.82119999999</v>
      </c>
      <c r="J74" s="122">
        <f t="shared" si="10"/>
        <v>91329</v>
      </c>
      <c r="K74" s="118">
        <f t="shared" si="10"/>
        <v>120735.82120000001</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c r="I76" s="629"/>
      <c r="K76" s="629"/>
    </row>
    <row r="77" spans="1:11" ht="18" customHeight="1" x14ac:dyDescent="0.2">
      <c r="A77" s="435" t="s">
        <v>107</v>
      </c>
      <c r="B77" s="419" t="s">
        <v>54</v>
      </c>
      <c r="F77" s="221"/>
      <c r="G77" s="221"/>
      <c r="H77" s="118"/>
      <c r="I77" s="133">
        <f t="shared" ref="I77:I80" si="11">H77*F$114</f>
        <v>0</v>
      </c>
      <c r="J77" s="118"/>
      <c r="K77" s="118">
        <f>(H77+I77)-J77</f>
        <v>0</v>
      </c>
    </row>
    <row r="78" spans="1:11" ht="18" customHeight="1" x14ac:dyDescent="0.2">
      <c r="A78" s="435" t="s">
        <v>108</v>
      </c>
      <c r="B78" s="419" t="s">
        <v>55</v>
      </c>
      <c r="F78" s="221"/>
      <c r="G78" s="221"/>
      <c r="H78" s="118"/>
      <c r="I78" s="133">
        <f t="shared" si="11"/>
        <v>0</v>
      </c>
      <c r="J78" s="118"/>
      <c r="K78" s="118">
        <f>(H78+I78)-J78</f>
        <v>0</v>
      </c>
    </row>
    <row r="79" spans="1:11" ht="18" customHeight="1" x14ac:dyDescent="0.2">
      <c r="A79" s="435" t="s">
        <v>109</v>
      </c>
      <c r="B79" s="419" t="s">
        <v>13</v>
      </c>
      <c r="F79" s="221"/>
      <c r="G79" s="221"/>
      <c r="H79" s="118"/>
      <c r="I79" s="133">
        <f t="shared" si="11"/>
        <v>0</v>
      </c>
      <c r="J79" s="118"/>
      <c r="K79" s="118">
        <f>(H79+I79)-J79</f>
        <v>0</v>
      </c>
    </row>
    <row r="80" spans="1:11" ht="18" customHeight="1" x14ac:dyDescent="0.2">
      <c r="A80" s="435" t="s">
        <v>110</v>
      </c>
      <c r="B80" s="419" t="s">
        <v>56</v>
      </c>
      <c r="F80" s="221"/>
      <c r="G80" s="221"/>
      <c r="H80" s="118"/>
      <c r="I80" s="133">
        <f t="shared" si="11"/>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2">SUM(F77:F80)</f>
        <v>0</v>
      </c>
      <c r="G82" s="122">
        <f t="shared" si="12"/>
        <v>0</v>
      </c>
      <c r="H82" s="118">
        <f t="shared" si="12"/>
        <v>0</v>
      </c>
      <c r="I82" s="118">
        <f t="shared" si="12"/>
        <v>0</v>
      </c>
      <c r="J82" s="118">
        <f t="shared" si="12"/>
        <v>0</v>
      </c>
      <c r="K82" s="118">
        <f t="shared" si="12"/>
        <v>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c r="F85" s="629"/>
      <c r="G85" s="629"/>
      <c r="H85" s="629"/>
      <c r="I85" s="629"/>
      <c r="J85" s="629"/>
      <c r="K85" s="629"/>
    </row>
    <row r="86" spans="1:11" ht="18" customHeight="1" x14ac:dyDescent="0.2">
      <c r="A86" s="435" t="s">
        <v>112</v>
      </c>
      <c r="B86" s="419" t="s">
        <v>113</v>
      </c>
      <c r="F86" s="221">
        <v>15279</v>
      </c>
      <c r="G86" s="221">
        <v>0</v>
      </c>
      <c r="H86" s="118">
        <v>5188447</v>
      </c>
      <c r="I86" s="133">
        <f t="shared" ref="I86:I96" si="13">H86*F$114</f>
        <v>5369004.9556</v>
      </c>
      <c r="J86" s="118">
        <v>4111038</v>
      </c>
      <c r="K86" s="118">
        <f t="shared" ref="K86:K96" si="14">(H86+I86)-J86</f>
        <v>6446413.9556000009</v>
      </c>
    </row>
    <row r="87" spans="1:11" ht="18" customHeight="1" x14ac:dyDescent="0.2">
      <c r="A87" s="435" t="s">
        <v>114</v>
      </c>
      <c r="B87" s="419" t="s">
        <v>14</v>
      </c>
      <c r="F87" s="221"/>
      <c r="G87" s="221"/>
      <c r="H87" s="118"/>
      <c r="I87" s="133">
        <f t="shared" si="13"/>
        <v>0</v>
      </c>
      <c r="J87" s="118"/>
      <c r="K87" s="118">
        <f t="shared" si="14"/>
        <v>0</v>
      </c>
    </row>
    <row r="88" spans="1:11" ht="18" customHeight="1" x14ac:dyDescent="0.2">
      <c r="A88" s="435" t="s">
        <v>115</v>
      </c>
      <c r="B88" s="419" t="s">
        <v>116</v>
      </c>
      <c r="F88" s="221"/>
      <c r="G88" s="221"/>
      <c r="H88" s="118"/>
      <c r="I88" s="133">
        <f t="shared" si="13"/>
        <v>0</v>
      </c>
      <c r="J88" s="118"/>
      <c r="K88" s="118">
        <f t="shared" si="14"/>
        <v>0</v>
      </c>
    </row>
    <row r="89" spans="1:11" ht="18" customHeight="1" x14ac:dyDescent="0.2">
      <c r="A89" s="435" t="s">
        <v>117</v>
      </c>
      <c r="B89" s="419" t="s">
        <v>58</v>
      </c>
      <c r="F89" s="221"/>
      <c r="G89" s="221"/>
      <c r="H89" s="118"/>
      <c r="I89" s="133">
        <f t="shared" si="13"/>
        <v>0</v>
      </c>
      <c r="J89" s="118"/>
      <c r="K89" s="118">
        <f t="shared" si="14"/>
        <v>0</v>
      </c>
    </row>
    <row r="90" spans="1:11" ht="18" customHeight="1" x14ac:dyDescent="0.2">
      <c r="A90" s="435" t="s">
        <v>118</v>
      </c>
      <c r="B90" s="465" t="s">
        <v>59</v>
      </c>
      <c r="C90" s="466"/>
      <c r="F90" s="221"/>
      <c r="G90" s="221"/>
      <c r="H90" s="118"/>
      <c r="I90" s="133">
        <f t="shared" si="13"/>
        <v>0</v>
      </c>
      <c r="J90" s="118"/>
      <c r="K90" s="118">
        <f t="shared" si="14"/>
        <v>0</v>
      </c>
    </row>
    <row r="91" spans="1:11" ht="18" customHeight="1" x14ac:dyDescent="0.2">
      <c r="A91" s="435" t="s">
        <v>119</v>
      </c>
      <c r="B91" s="419" t="s">
        <v>60</v>
      </c>
      <c r="F91" s="221"/>
      <c r="G91" s="221"/>
      <c r="H91" s="118"/>
      <c r="I91" s="133">
        <f t="shared" si="13"/>
        <v>0</v>
      </c>
      <c r="J91" s="118"/>
      <c r="K91" s="118">
        <f t="shared" si="14"/>
        <v>0</v>
      </c>
    </row>
    <row r="92" spans="1:11" ht="18" customHeight="1" x14ac:dyDescent="0.2">
      <c r="A92" s="435" t="s">
        <v>120</v>
      </c>
      <c r="B92" s="419" t="s">
        <v>121</v>
      </c>
      <c r="F92" s="257"/>
      <c r="G92" s="257"/>
      <c r="H92" s="429"/>
      <c r="I92" s="133">
        <f t="shared" si="13"/>
        <v>0</v>
      </c>
      <c r="J92" s="429"/>
      <c r="K92" s="118">
        <f t="shared" si="14"/>
        <v>0</v>
      </c>
    </row>
    <row r="93" spans="1:11" ht="18" customHeight="1" x14ac:dyDescent="0.2">
      <c r="A93" s="435" t="s">
        <v>122</v>
      </c>
      <c r="B93" s="419" t="s">
        <v>123</v>
      </c>
      <c r="F93" s="221"/>
      <c r="G93" s="221"/>
      <c r="H93" s="118"/>
      <c r="I93" s="133">
        <f t="shared" si="13"/>
        <v>0</v>
      </c>
      <c r="J93" s="118"/>
      <c r="K93" s="118">
        <f t="shared" si="14"/>
        <v>0</v>
      </c>
    </row>
    <row r="94" spans="1:11" ht="18" customHeight="1" x14ac:dyDescent="0.2">
      <c r="A94" s="435" t="s">
        <v>124</v>
      </c>
      <c r="B94" s="418"/>
      <c r="C94" s="417"/>
      <c r="D94" s="412"/>
      <c r="F94" s="221"/>
      <c r="G94" s="221"/>
      <c r="H94" s="118"/>
      <c r="I94" s="133">
        <f t="shared" si="13"/>
        <v>0</v>
      </c>
      <c r="J94" s="118"/>
      <c r="K94" s="118">
        <f t="shared" si="14"/>
        <v>0</v>
      </c>
    </row>
    <row r="95" spans="1:11" ht="18" customHeight="1" x14ac:dyDescent="0.2">
      <c r="A95" s="435" t="s">
        <v>125</v>
      </c>
      <c r="B95" s="418"/>
      <c r="C95" s="417"/>
      <c r="D95" s="412"/>
      <c r="F95" s="221"/>
      <c r="G95" s="221"/>
      <c r="H95" s="118"/>
      <c r="I95" s="133">
        <f t="shared" si="13"/>
        <v>0</v>
      </c>
      <c r="J95" s="118"/>
      <c r="K95" s="118">
        <f t="shared" si="14"/>
        <v>0</v>
      </c>
    </row>
    <row r="96" spans="1:11" ht="18" customHeight="1" x14ac:dyDescent="0.2">
      <c r="A96" s="435" t="s">
        <v>126</v>
      </c>
      <c r="B96" s="418"/>
      <c r="C96" s="417"/>
      <c r="D96" s="412"/>
      <c r="F96" s="221"/>
      <c r="G96" s="221"/>
      <c r="H96" s="118"/>
      <c r="I96" s="133">
        <f t="shared" si="13"/>
        <v>0</v>
      </c>
      <c r="J96" s="118"/>
      <c r="K96" s="118">
        <f t="shared" si="14"/>
        <v>0</v>
      </c>
    </row>
    <row r="97" spans="1:12" ht="18" customHeight="1" x14ac:dyDescent="0.2">
      <c r="A97" s="435"/>
      <c r="B97" s="419"/>
    </row>
    <row r="98" spans="1:12" ht="18" customHeight="1" x14ac:dyDescent="0.2">
      <c r="A98" s="455" t="s">
        <v>150</v>
      </c>
      <c r="B98" s="421" t="s">
        <v>151</v>
      </c>
      <c r="E98" s="421" t="s">
        <v>7</v>
      </c>
      <c r="F98" s="221">
        <f t="shared" ref="F98:K98" si="15">SUM(F86:F96)</f>
        <v>15279</v>
      </c>
      <c r="G98" s="221">
        <f t="shared" si="15"/>
        <v>0</v>
      </c>
      <c r="H98" s="221">
        <f t="shared" si="15"/>
        <v>5188447</v>
      </c>
      <c r="I98" s="221">
        <f t="shared" si="15"/>
        <v>5369004.9556</v>
      </c>
      <c r="J98" s="221">
        <f t="shared" si="15"/>
        <v>4111038</v>
      </c>
      <c r="K98" s="221">
        <f t="shared" si="15"/>
        <v>6446413.9556000009</v>
      </c>
    </row>
    <row r="99" spans="1:12" ht="18" customHeight="1" thickBot="1" x14ac:dyDescent="0.25">
      <c r="B99" s="421"/>
      <c r="F99" s="469"/>
      <c r="G99" s="469"/>
      <c r="H99" s="469"/>
      <c r="I99" s="469"/>
      <c r="J99" s="469"/>
      <c r="K99" s="469"/>
    </row>
    <row r="100" spans="1:12" ht="42.75" customHeight="1" x14ac:dyDescent="0.2">
      <c r="F100" s="454" t="s">
        <v>9</v>
      </c>
      <c r="G100" s="454" t="s">
        <v>37</v>
      </c>
      <c r="H100" s="454" t="s">
        <v>29</v>
      </c>
      <c r="I100" s="454" t="s">
        <v>30</v>
      </c>
      <c r="J100" s="454" t="s">
        <v>33</v>
      </c>
      <c r="K100" s="454" t="s">
        <v>34</v>
      </c>
    </row>
    <row r="101" spans="1:12" ht="18" customHeight="1" x14ac:dyDescent="0.2">
      <c r="A101" s="455" t="s">
        <v>130</v>
      </c>
      <c r="B101" s="421" t="s">
        <v>63</v>
      </c>
      <c r="F101" s="629"/>
      <c r="G101" s="629"/>
      <c r="H101" s="629"/>
      <c r="I101" s="629"/>
      <c r="J101" s="629"/>
      <c r="K101" s="629"/>
    </row>
    <row r="102" spans="1:12" ht="18" customHeight="1" x14ac:dyDescent="0.2">
      <c r="A102" s="435" t="s">
        <v>131</v>
      </c>
      <c r="B102" s="419" t="s">
        <v>152</v>
      </c>
      <c r="F102" s="221">
        <v>17917</v>
      </c>
      <c r="G102" s="221">
        <v>0</v>
      </c>
      <c r="H102" s="118">
        <v>1211061</v>
      </c>
      <c r="I102" s="133">
        <f>H102*F$114</f>
        <v>1253205.9227999998</v>
      </c>
      <c r="J102" s="118">
        <v>13527</v>
      </c>
      <c r="K102" s="118">
        <f>(H102+I102)-J102</f>
        <v>2450739.9227999998</v>
      </c>
    </row>
    <row r="103" spans="1:12" ht="18" customHeight="1" x14ac:dyDescent="0.2">
      <c r="A103" s="435" t="s">
        <v>132</v>
      </c>
      <c r="B103" s="465" t="s">
        <v>62</v>
      </c>
      <c r="C103" s="465"/>
      <c r="F103" s="221"/>
      <c r="G103" s="221"/>
      <c r="H103" s="118"/>
      <c r="I103" s="133">
        <f>H103*F$114</f>
        <v>0</v>
      </c>
      <c r="J103" s="118"/>
      <c r="K103" s="118">
        <f>(H103+I103)-J103</f>
        <v>0</v>
      </c>
    </row>
    <row r="104" spans="1:12" ht="18" customHeight="1" x14ac:dyDescent="0.2">
      <c r="A104" s="435" t="s">
        <v>128</v>
      </c>
      <c r="B104" s="418"/>
      <c r="C104" s="417"/>
      <c r="D104" s="412"/>
      <c r="F104" s="221"/>
      <c r="G104" s="221"/>
      <c r="H104" s="118"/>
      <c r="I104" s="133">
        <f>H104*F$114</f>
        <v>0</v>
      </c>
      <c r="J104" s="118"/>
      <c r="K104" s="118">
        <f>(H104+I104)-J104</f>
        <v>0</v>
      </c>
    </row>
    <row r="105" spans="1:12" ht="18" customHeight="1" x14ac:dyDescent="0.2">
      <c r="A105" s="435" t="s">
        <v>127</v>
      </c>
      <c r="B105" s="418"/>
      <c r="C105" s="417"/>
      <c r="D105" s="412"/>
      <c r="F105" s="221"/>
      <c r="G105" s="221"/>
      <c r="H105" s="118"/>
      <c r="I105" s="133">
        <f>H105*F$114</f>
        <v>0</v>
      </c>
      <c r="J105" s="118"/>
      <c r="K105" s="118">
        <f>(H105+I105)-J105</f>
        <v>0</v>
      </c>
    </row>
    <row r="106" spans="1:12" ht="18" customHeight="1" x14ac:dyDescent="0.2">
      <c r="A106" s="435" t="s">
        <v>129</v>
      </c>
      <c r="B106" s="418"/>
      <c r="C106" s="417"/>
      <c r="D106" s="412"/>
      <c r="F106" s="221"/>
      <c r="G106" s="221"/>
      <c r="H106" s="118"/>
      <c r="I106" s="133">
        <f>H106*F$114</f>
        <v>0</v>
      </c>
      <c r="J106" s="118"/>
      <c r="K106" s="118">
        <f>(H106+I106)-J106</f>
        <v>0</v>
      </c>
    </row>
    <row r="107" spans="1:12" ht="18" customHeight="1" x14ac:dyDescent="0.2">
      <c r="B107" s="421"/>
    </row>
    <row r="108" spans="1:12" s="468" customFormat="1" ht="18" customHeight="1" x14ac:dyDescent="0.2">
      <c r="A108" s="455" t="s">
        <v>153</v>
      </c>
      <c r="B108" s="481" t="s">
        <v>154</v>
      </c>
      <c r="C108" s="259"/>
      <c r="D108" s="259"/>
      <c r="E108" s="421" t="s">
        <v>7</v>
      </c>
      <c r="F108" s="221">
        <f t="shared" ref="F108:K108" si="16">SUM(F102:F106)</f>
        <v>17917</v>
      </c>
      <c r="G108" s="221">
        <f t="shared" si="16"/>
        <v>0</v>
      </c>
      <c r="H108" s="118">
        <f t="shared" si="16"/>
        <v>1211061</v>
      </c>
      <c r="I108" s="118">
        <f t="shared" si="16"/>
        <v>1253205.9227999998</v>
      </c>
      <c r="J108" s="118">
        <f t="shared" si="16"/>
        <v>13527</v>
      </c>
      <c r="K108" s="118">
        <f t="shared" si="16"/>
        <v>2450739.9227999998</v>
      </c>
      <c r="L108" s="630"/>
    </row>
    <row r="109" spans="1:12" s="468" customFormat="1" ht="18" customHeight="1" thickBot="1" x14ac:dyDescent="0.25">
      <c r="A109" s="482"/>
      <c r="B109" s="483"/>
      <c r="C109" s="484"/>
      <c r="D109" s="484"/>
      <c r="E109" s="484"/>
      <c r="F109" s="469"/>
      <c r="G109" s="469"/>
      <c r="H109" s="469"/>
      <c r="I109" s="469"/>
      <c r="J109" s="469"/>
      <c r="K109" s="469"/>
      <c r="L109" s="630"/>
    </row>
    <row r="110" spans="1:12" s="468" customFormat="1" ht="18" customHeight="1" x14ac:dyDescent="0.2">
      <c r="A110" s="455" t="s">
        <v>156</v>
      </c>
      <c r="B110" s="421" t="s">
        <v>39</v>
      </c>
      <c r="C110" s="259"/>
      <c r="D110" s="259"/>
      <c r="E110" s="259"/>
      <c r="F110" s="259"/>
      <c r="G110" s="259"/>
      <c r="H110" s="259"/>
      <c r="I110" s="259"/>
      <c r="J110" s="259"/>
      <c r="K110" s="259"/>
      <c r="L110" s="630"/>
    </row>
    <row r="111" spans="1:12" ht="18" customHeight="1" x14ac:dyDescent="0.2">
      <c r="A111" s="455" t="s">
        <v>155</v>
      </c>
      <c r="B111" s="421" t="s">
        <v>164</v>
      </c>
      <c r="E111" s="421" t="s">
        <v>7</v>
      </c>
      <c r="F111" s="118">
        <v>488596</v>
      </c>
      <c r="G111" s="629"/>
    </row>
    <row r="112" spans="1:12" ht="18" customHeight="1" x14ac:dyDescent="0.2">
      <c r="B112" s="421"/>
      <c r="E112" s="421"/>
      <c r="F112" s="258"/>
      <c r="G112" s="629"/>
    </row>
    <row r="113" spans="1:7" ht="18" customHeight="1" x14ac:dyDescent="0.2">
      <c r="A113" s="455"/>
      <c r="B113" s="421" t="s">
        <v>15</v>
      </c>
      <c r="G113" s="629"/>
    </row>
    <row r="114" spans="1:7" ht="18" customHeight="1" x14ac:dyDescent="0.2">
      <c r="A114" s="435" t="s">
        <v>171</v>
      </c>
      <c r="B114" s="419" t="s">
        <v>35</v>
      </c>
      <c r="F114" s="260">
        <v>1.0347999999999999</v>
      </c>
      <c r="G114" s="629"/>
    </row>
    <row r="115" spans="1:7" ht="18" customHeight="1" x14ac:dyDescent="0.2">
      <c r="A115" s="435"/>
      <c r="B115" s="421"/>
      <c r="G115" s="629"/>
    </row>
    <row r="116" spans="1:7" ht="18" customHeight="1" x14ac:dyDescent="0.2">
      <c r="A116" s="435" t="s">
        <v>170</v>
      </c>
      <c r="B116" s="421" t="s">
        <v>16</v>
      </c>
      <c r="G116" s="629"/>
    </row>
    <row r="117" spans="1:7" ht="18" customHeight="1" x14ac:dyDescent="0.2">
      <c r="A117" s="435" t="s">
        <v>172</v>
      </c>
      <c r="B117" s="419" t="s">
        <v>17</v>
      </c>
      <c r="F117" s="118">
        <v>108072098</v>
      </c>
      <c r="G117" s="629"/>
    </row>
    <row r="118" spans="1:7" ht="18" customHeight="1" x14ac:dyDescent="0.2">
      <c r="A118" s="435" t="s">
        <v>173</v>
      </c>
      <c r="B118" s="259" t="s">
        <v>18</v>
      </c>
      <c r="F118" s="118">
        <v>2453428</v>
      </c>
      <c r="G118" s="629"/>
    </row>
    <row r="119" spans="1:7" ht="18" customHeight="1" x14ac:dyDescent="0.2">
      <c r="A119" s="435" t="s">
        <v>174</v>
      </c>
      <c r="B119" s="421" t="s">
        <v>19</v>
      </c>
      <c r="F119" s="118">
        <f>SUM(F117:F118)</f>
        <v>110525526</v>
      </c>
      <c r="G119" s="629"/>
    </row>
    <row r="120" spans="1:7" ht="18" customHeight="1" x14ac:dyDescent="0.2">
      <c r="A120" s="435"/>
      <c r="B120" s="421"/>
      <c r="G120" s="629"/>
    </row>
    <row r="121" spans="1:7" ht="18" customHeight="1" x14ac:dyDescent="0.2">
      <c r="A121" s="435" t="s">
        <v>167</v>
      </c>
      <c r="B121" s="421" t="s">
        <v>36</v>
      </c>
      <c r="F121" s="118">
        <v>109675296</v>
      </c>
      <c r="G121" s="629"/>
    </row>
    <row r="122" spans="1:7" ht="18" customHeight="1" x14ac:dyDescent="0.2">
      <c r="A122" s="435"/>
      <c r="G122" s="629"/>
    </row>
    <row r="123" spans="1:7" ht="18" customHeight="1" x14ac:dyDescent="0.2">
      <c r="A123" s="435" t="s">
        <v>175</v>
      </c>
      <c r="B123" s="421" t="s">
        <v>20</v>
      </c>
      <c r="F123" s="118">
        <v>-525673</v>
      </c>
      <c r="G123" s="629"/>
    </row>
    <row r="124" spans="1:7" ht="18" customHeight="1" x14ac:dyDescent="0.2">
      <c r="A124" s="435"/>
      <c r="G124" s="629"/>
    </row>
    <row r="125" spans="1:7" ht="18" customHeight="1" x14ac:dyDescent="0.2">
      <c r="A125" s="435" t="s">
        <v>176</v>
      </c>
      <c r="B125" s="421" t="s">
        <v>21</v>
      </c>
      <c r="F125" s="118">
        <v>56140</v>
      </c>
      <c r="G125" s="629"/>
    </row>
    <row r="126" spans="1:7" ht="18" customHeight="1" x14ac:dyDescent="0.2">
      <c r="A126" s="435"/>
      <c r="G126" s="629"/>
    </row>
    <row r="127" spans="1:7" ht="18" customHeight="1" x14ac:dyDescent="0.2">
      <c r="A127" s="435" t="s">
        <v>177</v>
      </c>
      <c r="B127" s="421" t="s">
        <v>22</v>
      </c>
      <c r="F127" s="118">
        <v>-469532</v>
      </c>
      <c r="G127" s="629"/>
    </row>
    <row r="128" spans="1:7"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c r="F130" s="629"/>
      <c r="G130" s="629"/>
      <c r="H130" s="629"/>
      <c r="I130" s="629"/>
      <c r="J130" s="629"/>
      <c r="K130" s="629"/>
    </row>
    <row r="131" spans="1:11" ht="18" customHeight="1" x14ac:dyDescent="0.2">
      <c r="A131" s="435" t="s">
        <v>158</v>
      </c>
      <c r="B131" s="259" t="s">
        <v>24</v>
      </c>
      <c r="F131" s="221">
        <v>3343</v>
      </c>
      <c r="G131" s="221">
        <v>3073</v>
      </c>
      <c r="H131" s="118">
        <v>118955</v>
      </c>
      <c r="I131" s="133">
        <f t="shared" ref="I131:I135" si="17">H131*F$114</f>
        <v>123094.63399999999</v>
      </c>
      <c r="J131" s="118">
        <v>0</v>
      </c>
      <c r="K131" s="118">
        <f>(H131+I131)-J131</f>
        <v>242049.63399999999</v>
      </c>
    </row>
    <row r="132" spans="1:11" ht="18" customHeight="1" x14ac:dyDescent="0.2">
      <c r="A132" s="435" t="s">
        <v>159</v>
      </c>
      <c r="B132" s="259" t="s">
        <v>25</v>
      </c>
      <c r="F132" s="221">
        <v>63356</v>
      </c>
      <c r="G132" s="221">
        <v>24612</v>
      </c>
      <c r="H132" s="118">
        <v>2838060</v>
      </c>
      <c r="I132" s="133">
        <f t="shared" si="17"/>
        <v>2936824.4879999999</v>
      </c>
      <c r="J132" s="118">
        <v>2102222</v>
      </c>
      <c r="K132" s="118">
        <f>(H132+I132)-J132</f>
        <v>3672662.4879999999</v>
      </c>
    </row>
    <row r="133" spans="1:11" ht="18" customHeight="1" x14ac:dyDescent="0.2">
      <c r="A133" s="435" t="s">
        <v>160</v>
      </c>
      <c r="B133" s="456"/>
      <c r="C133" s="457"/>
      <c r="D133" s="458"/>
      <c r="F133" s="221"/>
      <c r="G133" s="221"/>
      <c r="H133" s="118"/>
      <c r="I133" s="133">
        <f t="shared" si="17"/>
        <v>0</v>
      </c>
      <c r="J133" s="118"/>
      <c r="K133" s="118">
        <f>(H133+I133)-J133</f>
        <v>0</v>
      </c>
    </row>
    <row r="134" spans="1:11" ht="18" customHeight="1" x14ac:dyDescent="0.2">
      <c r="A134" s="435" t="s">
        <v>161</v>
      </c>
      <c r="B134" s="456"/>
      <c r="C134" s="457"/>
      <c r="D134" s="458"/>
      <c r="F134" s="221"/>
      <c r="G134" s="221"/>
      <c r="H134" s="118"/>
      <c r="I134" s="133">
        <f t="shared" si="17"/>
        <v>0</v>
      </c>
      <c r="J134" s="118"/>
      <c r="K134" s="118">
        <f>(H134+I134)-J134</f>
        <v>0</v>
      </c>
    </row>
    <row r="135" spans="1:11" ht="18" customHeight="1" x14ac:dyDescent="0.2">
      <c r="A135" s="435" t="s">
        <v>162</v>
      </c>
      <c r="B135" s="456"/>
      <c r="C135" s="457"/>
      <c r="D135" s="458"/>
      <c r="F135" s="221"/>
      <c r="G135" s="221"/>
      <c r="H135" s="118"/>
      <c r="I135" s="133">
        <f t="shared" si="17"/>
        <v>0</v>
      </c>
      <c r="J135" s="118"/>
      <c r="K135" s="118">
        <f>(H135+I135)-J135</f>
        <v>0</v>
      </c>
    </row>
    <row r="136" spans="1:11" ht="18" customHeight="1" x14ac:dyDescent="0.2">
      <c r="A136" s="455"/>
    </row>
    <row r="137" spans="1:11" ht="18" customHeight="1" x14ac:dyDescent="0.2">
      <c r="A137" s="455" t="s">
        <v>163</v>
      </c>
      <c r="B137" s="421" t="s">
        <v>27</v>
      </c>
      <c r="F137" s="221">
        <f t="shared" ref="F137:K137" si="18">SUM(F131:F135)</f>
        <v>66699</v>
      </c>
      <c r="G137" s="221">
        <f t="shared" si="18"/>
        <v>27685</v>
      </c>
      <c r="H137" s="118">
        <f t="shared" si="18"/>
        <v>2957015</v>
      </c>
      <c r="I137" s="118">
        <f t="shared" si="18"/>
        <v>3059919.122</v>
      </c>
      <c r="J137" s="118">
        <f t="shared" si="18"/>
        <v>2102222</v>
      </c>
      <c r="K137" s="118">
        <f t="shared" si="18"/>
        <v>3914712.122</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c r="F140" s="629"/>
      <c r="G140" s="629"/>
      <c r="H140" s="629"/>
      <c r="I140" s="629"/>
      <c r="J140" s="629"/>
      <c r="K140" s="629"/>
    </row>
    <row r="141" spans="1:11" ht="18" customHeight="1" x14ac:dyDescent="0.2">
      <c r="A141" s="435" t="s">
        <v>137</v>
      </c>
      <c r="B141" s="421" t="s">
        <v>64</v>
      </c>
      <c r="F141" s="422">
        <f t="shared" ref="F141:K141" si="19">F36</f>
        <v>219034</v>
      </c>
      <c r="G141" s="422">
        <f t="shared" si="19"/>
        <v>255407</v>
      </c>
      <c r="H141" s="422">
        <f t="shared" si="19"/>
        <v>8894780</v>
      </c>
      <c r="I141" s="422">
        <f t="shared" si="19"/>
        <v>9204318.3440000005</v>
      </c>
      <c r="J141" s="422">
        <f t="shared" si="19"/>
        <v>7887819</v>
      </c>
      <c r="K141" s="422">
        <f t="shared" si="19"/>
        <v>10211279.344000001</v>
      </c>
    </row>
    <row r="142" spans="1:11" ht="18" customHeight="1" x14ac:dyDescent="0.2">
      <c r="A142" s="435" t="s">
        <v>142</v>
      </c>
      <c r="B142" s="421" t="s">
        <v>65</v>
      </c>
      <c r="F142" s="422">
        <f t="shared" ref="F142:K142" si="20">F49</f>
        <v>0</v>
      </c>
      <c r="G142" s="422">
        <f t="shared" si="20"/>
        <v>0</v>
      </c>
      <c r="H142" s="422">
        <f t="shared" si="20"/>
        <v>0</v>
      </c>
      <c r="I142" s="422">
        <f t="shared" si="20"/>
        <v>0</v>
      </c>
      <c r="J142" s="422">
        <f t="shared" si="20"/>
        <v>0</v>
      </c>
      <c r="K142" s="422">
        <f t="shared" si="20"/>
        <v>0</v>
      </c>
    </row>
    <row r="143" spans="1:11" ht="18" customHeight="1" x14ac:dyDescent="0.2">
      <c r="A143" s="435" t="s">
        <v>144</v>
      </c>
      <c r="B143" s="421" t="s">
        <v>66</v>
      </c>
      <c r="F143" s="422">
        <f t="shared" ref="F143:K143" si="21">F64</f>
        <v>13042</v>
      </c>
      <c r="G143" s="422">
        <f t="shared" si="21"/>
        <v>40041</v>
      </c>
      <c r="H143" s="422">
        <f t="shared" si="21"/>
        <v>311247</v>
      </c>
      <c r="I143" s="422">
        <f t="shared" si="21"/>
        <v>322078.39559999999</v>
      </c>
      <c r="J143" s="422">
        <f t="shared" si="21"/>
        <v>0</v>
      </c>
      <c r="K143" s="422">
        <f t="shared" si="21"/>
        <v>633325.39559999993</v>
      </c>
    </row>
    <row r="144" spans="1:11" ht="18" customHeight="1" x14ac:dyDescent="0.2">
      <c r="A144" s="435" t="s">
        <v>146</v>
      </c>
      <c r="B144" s="421" t="s">
        <v>67</v>
      </c>
      <c r="F144" s="422">
        <f t="shared" ref="F144:K144" si="22">F74</f>
        <v>1472</v>
      </c>
      <c r="G144" s="422">
        <f t="shared" si="22"/>
        <v>0</v>
      </c>
      <c r="H144" s="422">
        <f t="shared" si="22"/>
        <v>104219</v>
      </c>
      <c r="I144" s="422">
        <f t="shared" si="22"/>
        <v>107845.82119999999</v>
      </c>
      <c r="J144" s="422">
        <f t="shared" si="22"/>
        <v>91329</v>
      </c>
      <c r="K144" s="422">
        <f t="shared" si="22"/>
        <v>120735.82120000001</v>
      </c>
    </row>
    <row r="145" spans="1:11" ht="18" customHeight="1" x14ac:dyDescent="0.2">
      <c r="A145" s="435" t="s">
        <v>148</v>
      </c>
      <c r="B145" s="421" t="s">
        <v>68</v>
      </c>
      <c r="F145" s="422">
        <f t="shared" ref="F145:K145" si="23">F82</f>
        <v>0</v>
      </c>
      <c r="G145" s="422">
        <f t="shared" si="23"/>
        <v>0</v>
      </c>
      <c r="H145" s="422">
        <f t="shared" si="23"/>
        <v>0</v>
      </c>
      <c r="I145" s="422">
        <f t="shared" si="23"/>
        <v>0</v>
      </c>
      <c r="J145" s="422">
        <f t="shared" si="23"/>
        <v>0</v>
      </c>
      <c r="K145" s="422">
        <f t="shared" si="23"/>
        <v>0</v>
      </c>
    </row>
    <row r="146" spans="1:11" ht="18" customHeight="1" x14ac:dyDescent="0.2">
      <c r="A146" s="435" t="s">
        <v>150</v>
      </c>
      <c r="B146" s="421" t="s">
        <v>69</v>
      </c>
      <c r="F146" s="422">
        <f t="shared" ref="F146:K146" si="24">F98</f>
        <v>15279</v>
      </c>
      <c r="G146" s="422">
        <f t="shared" si="24"/>
        <v>0</v>
      </c>
      <c r="H146" s="422">
        <f t="shared" si="24"/>
        <v>5188447</v>
      </c>
      <c r="I146" s="422">
        <f t="shared" si="24"/>
        <v>5369004.9556</v>
      </c>
      <c r="J146" s="422">
        <f t="shared" si="24"/>
        <v>4111038</v>
      </c>
      <c r="K146" s="422">
        <f t="shared" si="24"/>
        <v>6446413.9556000009</v>
      </c>
    </row>
    <row r="147" spans="1:11" ht="18" customHeight="1" x14ac:dyDescent="0.2">
      <c r="A147" s="435" t="s">
        <v>153</v>
      </c>
      <c r="B147" s="421" t="s">
        <v>61</v>
      </c>
      <c r="F147" s="221">
        <f t="shared" ref="F147:K147" si="25">F108</f>
        <v>17917</v>
      </c>
      <c r="G147" s="221">
        <f t="shared" si="25"/>
        <v>0</v>
      </c>
      <c r="H147" s="221">
        <f t="shared" si="25"/>
        <v>1211061</v>
      </c>
      <c r="I147" s="221">
        <f t="shared" si="25"/>
        <v>1253205.9227999998</v>
      </c>
      <c r="J147" s="221">
        <f t="shared" si="25"/>
        <v>13527</v>
      </c>
      <c r="K147" s="221">
        <f t="shared" si="25"/>
        <v>2450739.9227999998</v>
      </c>
    </row>
    <row r="148" spans="1:11" ht="18" customHeight="1" x14ac:dyDescent="0.2">
      <c r="A148" s="435" t="s">
        <v>155</v>
      </c>
      <c r="B148" s="421" t="s">
        <v>70</v>
      </c>
      <c r="F148" s="485" t="s">
        <v>73</v>
      </c>
      <c r="G148" s="485" t="s">
        <v>73</v>
      </c>
      <c r="H148" s="486" t="s">
        <v>73</v>
      </c>
      <c r="I148" s="486" t="s">
        <v>73</v>
      </c>
      <c r="J148" s="486" t="s">
        <v>73</v>
      </c>
      <c r="K148" s="423">
        <f>F111</f>
        <v>488596</v>
      </c>
    </row>
    <row r="149" spans="1:11" ht="18" customHeight="1" x14ac:dyDescent="0.2">
      <c r="A149" s="435" t="s">
        <v>163</v>
      </c>
      <c r="B149" s="421" t="s">
        <v>71</v>
      </c>
      <c r="F149" s="221">
        <f t="shared" ref="F149:K149" si="26">F137</f>
        <v>66699</v>
      </c>
      <c r="G149" s="221">
        <f t="shared" si="26"/>
        <v>27685</v>
      </c>
      <c r="H149" s="221">
        <f t="shared" si="26"/>
        <v>2957015</v>
      </c>
      <c r="I149" s="221">
        <f t="shared" si="26"/>
        <v>3059919.122</v>
      </c>
      <c r="J149" s="221">
        <f t="shared" si="26"/>
        <v>2102222</v>
      </c>
      <c r="K149" s="221">
        <f t="shared" si="26"/>
        <v>3914712.122</v>
      </c>
    </row>
    <row r="150" spans="1:11" ht="18" customHeight="1" x14ac:dyDescent="0.2">
      <c r="A150" s="435" t="s">
        <v>185</v>
      </c>
      <c r="B150" s="421" t="s">
        <v>186</v>
      </c>
      <c r="F150" s="485" t="s">
        <v>73</v>
      </c>
      <c r="G150" s="485" t="s">
        <v>73</v>
      </c>
      <c r="H150" s="221">
        <f>H18</f>
        <v>2600856</v>
      </c>
      <c r="I150" s="221">
        <f>I18</f>
        <v>0</v>
      </c>
      <c r="J150" s="221">
        <f>J18</f>
        <v>2198237</v>
      </c>
      <c r="K150" s="221">
        <f>K18</f>
        <v>402619</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7">SUM(F141:F150)</f>
        <v>333443</v>
      </c>
      <c r="G152" s="487">
        <f t="shared" si="27"/>
        <v>323133</v>
      </c>
      <c r="H152" s="487">
        <f t="shared" si="27"/>
        <v>21267625</v>
      </c>
      <c r="I152" s="487">
        <f t="shared" si="27"/>
        <v>19316372.561200004</v>
      </c>
      <c r="J152" s="487">
        <f t="shared" si="27"/>
        <v>16404172</v>
      </c>
      <c r="K152" s="487">
        <f t="shared" si="27"/>
        <v>24668421.561200004</v>
      </c>
    </row>
    <row r="153" spans="1:11" ht="18" customHeight="1" x14ac:dyDescent="0.25">
      <c r="F153" s="631"/>
      <c r="G153" s="631"/>
      <c r="H153" s="631"/>
      <c r="I153" s="629"/>
      <c r="J153" s="629"/>
      <c r="K153" s="629"/>
    </row>
    <row r="154" spans="1:11" ht="18" customHeight="1" x14ac:dyDescent="0.2">
      <c r="A154" s="455" t="s">
        <v>168</v>
      </c>
      <c r="B154" s="421" t="s">
        <v>28</v>
      </c>
      <c r="F154" s="140">
        <f>K152/F121</f>
        <v>0.22492231578932784</v>
      </c>
      <c r="G154" s="629"/>
    </row>
    <row r="155" spans="1:11" ht="18" customHeight="1" x14ac:dyDescent="0.2">
      <c r="A155" s="455" t="s">
        <v>169</v>
      </c>
      <c r="B155" s="421" t="s">
        <v>72</v>
      </c>
      <c r="F155" s="140">
        <f>K152/F127</f>
        <v>-52.538318072463653</v>
      </c>
      <c r="G155" s="629"/>
    </row>
    <row r="156" spans="1:11" ht="18" customHeight="1" x14ac:dyDescent="0.2">
      <c r="G156" s="421"/>
    </row>
  </sheetData>
  <sheetProtection algorithmName="SHA-512" hashValue="D2yi8wX/dgeXj6/EdK83OYMElty9vXB/UV93EJR3aHQOEhy4P0WiCwCS7Ucv7HHzxYRtpP6Z+o6ys/XrHM0jwA==" saltValue="1T7RcVVxNgM6w5FLdNO8Hg=="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paperSize="5" scale="75" fitToHeight="0"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K8" sqref="K8"/>
    </sheetView>
  </sheetViews>
  <sheetFormatPr defaultRowHeight="15" x14ac:dyDescent="0.25"/>
  <cols>
    <col min="1" max="1" width="22.85546875" style="295" customWidth="1"/>
    <col min="2" max="2" width="51.7109375" style="295" bestFit="1" customWidth="1"/>
    <col min="3" max="3" width="14.42578125" style="295" customWidth="1"/>
    <col min="4" max="4" width="9.140625" style="295"/>
    <col min="5" max="5" width="12.140625" style="295" bestFit="1" customWidth="1"/>
    <col min="6" max="16384" width="9.140625" style="295"/>
  </cols>
  <sheetData>
    <row r="1" spans="1:3" x14ac:dyDescent="0.25">
      <c r="A1" s="226" t="s">
        <v>857</v>
      </c>
    </row>
    <row r="2" spans="1:3" x14ac:dyDescent="0.25">
      <c r="A2" s="304" t="s">
        <v>601</v>
      </c>
      <c r="B2" s="304" t="s">
        <v>197</v>
      </c>
      <c r="C2" s="304" t="s">
        <v>70</v>
      </c>
    </row>
    <row r="3" spans="1:3" x14ac:dyDescent="0.25">
      <c r="A3" s="296">
        <v>210001</v>
      </c>
      <c r="B3" s="296" t="s">
        <v>194</v>
      </c>
      <c r="C3" s="302">
        <v>4736136.7278773095</v>
      </c>
    </row>
    <row r="4" spans="1:3" x14ac:dyDescent="0.25">
      <c r="A4" s="298" t="s">
        <v>817</v>
      </c>
      <c r="B4" s="296" t="s">
        <v>818</v>
      </c>
      <c r="C4" s="302">
        <v>16505857.095486123</v>
      </c>
    </row>
    <row r="5" spans="1:3" x14ac:dyDescent="0.25">
      <c r="A5" s="298" t="s">
        <v>819</v>
      </c>
      <c r="B5" s="296" t="s">
        <v>854</v>
      </c>
      <c r="C5" s="302">
        <f>9567720.2952+3142965.16836</f>
        <v>12710685.46356</v>
      </c>
    </row>
    <row r="6" spans="1:3" x14ac:dyDescent="0.25">
      <c r="A6" s="296">
        <v>210004</v>
      </c>
      <c r="B6" s="296" t="s">
        <v>528</v>
      </c>
      <c r="C6" s="302">
        <v>29480772.849653997</v>
      </c>
    </row>
    <row r="7" spans="1:3" x14ac:dyDescent="0.25">
      <c r="A7" s="296">
        <v>210005</v>
      </c>
      <c r="B7" s="296" t="s">
        <v>820</v>
      </c>
      <c r="C7" s="302">
        <v>6315042.4263199996</v>
      </c>
    </row>
    <row r="8" spans="1:3" x14ac:dyDescent="0.25">
      <c r="A8" s="296">
        <v>210006</v>
      </c>
      <c r="B8" s="296" t="s">
        <v>821</v>
      </c>
      <c r="C8" s="302">
        <v>1476119.9006477029</v>
      </c>
    </row>
    <row r="9" spans="1:3" x14ac:dyDescent="0.25">
      <c r="A9" s="296">
        <v>210008</v>
      </c>
      <c r="B9" s="296" t="s">
        <v>822</v>
      </c>
      <c r="C9" s="302">
        <v>15544957.799371</v>
      </c>
    </row>
    <row r="10" spans="1:3" x14ac:dyDescent="0.25">
      <c r="A10" s="296">
        <v>210009</v>
      </c>
      <c r="B10" s="296" t="s">
        <v>529</v>
      </c>
      <c r="C10" s="302">
        <v>29663924.744571742</v>
      </c>
    </row>
    <row r="11" spans="1:3" x14ac:dyDescent="0.25">
      <c r="A11" s="296">
        <v>210010</v>
      </c>
      <c r="B11" s="296" t="s">
        <v>823</v>
      </c>
      <c r="C11" s="302">
        <v>636456.29286358028</v>
      </c>
    </row>
    <row r="12" spans="1:3" x14ac:dyDescent="0.25">
      <c r="A12" s="296">
        <v>210011</v>
      </c>
      <c r="B12" s="296" t="s">
        <v>824</v>
      </c>
      <c r="C12" s="302">
        <v>23124503.185128</v>
      </c>
    </row>
    <row r="13" spans="1:3" x14ac:dyDescent="0.25">
      <c r="A13" s="296">
        <v>210012</v>
      </c>
      <c r="B13" s="296" t="s">
        <v>825</v>
      </c>
      <c r="C13" s="302">
        <v>6268158.3053100007</v>
      </c>
    </row>
    <row r="14" spans="1:3" x14ac:dyDescent="0.25">
      <c r="A14" s="296">
        <v>210013</v>
      </c>
      <c r="B14" s="296" t="s">
        <v>826</v>
      </c>
      <c r="C14" s="302">
        <v>624231.97131700208</v>
      </c>
    </row>
    <row r="15" spans="1:3" x14ac:dyDescent="0.25">
      <c r="A15" s="296">
        <v>210015</v>
      </c>
      <c r="B15" s="296" t="s">
        <v>827</v>
      </c>
      <c r="C15" s="302">
        <v>8190971.393916578</v>
      </c>
    </row>
    <row r="16" spans="1:3" x14ac:dyDescent="0.25">
      <c r="A16" s="296">
        <v>210016</v>
      </c>
      <c r="B16" s="296" t="s">
        <v>828</v>
      </c>
      <c r="C16" s="302">
        <v>7371752.186879999</v>
      </c>
    </row>
    <row r="17" spans="1:3" x14ac:dyDescent="0.25">
      <c r="A17" s="296">
        <v>210017</v>
      </c>
      <c r="B17" s="296" t="s">
        <v>829</v>
      </c>
      <c r="C17" s="302">
        <v>2457098.0852615172</v>
      </c>
    </row>
    <row r="18" spans="1:3" x14ac:dyDescent="0.25">
      <c r="A18" s="296">
        <v>210018</v>
      </c>
      <c r="B18" s="296" t="s">
        <v>830</v>
      </c>
      <c r="C18" s="302">
        <v>2407213.2443371769</v>
      </c>
    </row>
    <row r="19" spans="1:3" x14ac:dyDescent="0.25">
      <c r="A19" s="296">
        <v>210019</v>
      </c>
      <c r="B19" s="296" t="s">
        <v>450</v>
      </c>
      <c r="C19" s="302">
        <v>8185920.0021021189</v>
      </c>
    </row>
    <row r="20" spans="1:3" x14ac:dyDescent="0.25">
      <c r="A20" s="296">
        <v>210022</v>
      </c>
      <c r="B20" s="296" t="s">
        <v>831</v>
      </c>
      <c r="C20" s="302">
        <v>3772661.5291915196</v>
      </c>
    </row>
    <row r="21" spans="1:3" x14ac:dyDescent="0.25">
      <c r="A21" s="296">
        <v>210023</v>
      </c>
      <c r="B21" s="296" t="s">
        <v>832</v>
      </c>
      <c r="C21" s="302">
        <v>4083657.2869230006</v>
      </c>
    </row>
    <row r="22" spans="1:3" x14ac:dyDescent="0.25">
      <c r="A22" s="296">
        <v>210024</v>
      </c>
      <c r="B22" s="296" t="s">
        <v>452</v>
      </c>
      <c r="C22" s="302">
        <v>7578926.7257620916</v>
      </c>
    </row>
    <row r="23" spans="1:3" x14ac:dyDescent="0.25">
      <c r="A23" s="296">
        <v>210027</v>
      </c>
      <c r="B23" s="296" t="s">
        <v>833</v>
      </c>
      <c r="C23" s="302">
        <v>9443041.7315400001</v>
      </c>
    </row>
    <row r="24" spans="1:3" x14ac:dyDescent="0.25">
      <c r="A24" s="296">
        <v>210028</v>
      </c>
      <c r="B24" s="296" t="s">
        <v>834</v>
      </c>
      <c r="C24" s="302">
        <v>4335333.6622199994</v>
      </c>
    </row>
    <row r="25" spans="1:3" x14ac:dyDescent="0.25">
      <c r="A25" s="296">
        <v>210029</v>
      </c>
      <c r="B25" s="296" t="s">
        <v>835</v>
      </c>
      <c r="C25" s="302">
        <v>18323641.014118765</v>
      </c>
    </row>
    <row r="26" spans="1:3" x14ac:dyDescent="0.25">
      <c r="A26" s="296">
        <v>210030</v>
      </c>
      <c r="B26" s="296" t="s">
        <v>836</v>
      </c>
      <c r="C26" s="302">
        <v>412473.61081842968</v>
      </c>
    </row>
    <row r="27" spans="1:3" x14ac:dyDescent="0.25">
      <c r="A27" s="296">
        <v>210032</v>
      </c>
      <c r="B27" s="296" t="s">
        <v>230</v>
      </c>
      <c r="C27" s="302">
        <v>1497838.7798279999</v>
      </c>
    </row>
    <row r="28" spans="1:3" x14ac:dyDescent="0.25">
      <c r="A28" s="296">
        <v>210033</v>
      </c>
      <c r="B28" s="296" t="s">
        <v>837</v>
      </c>
      <c r="C28" s="302">
        <v>802578.83375807991</v>
      </c>
    </row>
    <row r="29" spans="1:3" x14ac:dyDescent="0.25">
      <c r="A29" s="296">
        <v>210034</v>
      </c>
      <c r="B29" s="296" t="s">
        <v>838</v>
      </c>
      <c r="C29" s="302">
        <v>5065512.4249235215</v>
      </c>
    </row>
    <row r="30" spans="1:3" x14ac:dyDescent="0.25">
      <c r="A30" s="296">
        <v>210035</v>
      </c>
      <c r="B30" s="296" t="s">
        <v>839</v>
      </c>
      <c r="C30" s="302">
        <v>966136.48200649431</v>
      </c>
    </row>
    <row r="31" spans="1:3" x14ac:dyDescent="0.25">
      <c r="A31" s="296">
        <v>210037</v>
      </c>
      <c r="B31" s="296" t="s">
        <v>840</v>
      </c>
      <c r="C31" s="302">
        <v>2394487.0618318403</v>
      </c>
    </row>
    <row r="32" spans="1:3" x14ac:dyDescent="0.25">
      <c r="A32" s="296">
        <v>210038</v>
      </c>
      <c r="B32" s="296" t="s">
        <v>841</v>
      </c>
      <c r="C32" s="302">
        <v>4573586.5371222785</v>
      </c>
    </row>
    <row r="33" spans="1:3" x14ac:dyDescent="0.25">
      <c r="A33" s="296">
        <v>210039</v>
      </c>
      <c r="B33" s="296" t="s">
        <v>842</v>
      </c>
      <c r="C33" s="302">
        <v>4279043.9427839993</v>
      </c>
    </row>
    <row r="34" spans="1:3" x14ac:dyDescent="0.25">
      <c r="A34" s="296">
        <v>210040</v>
      </c>
      <c r="B34" s="296" t="s">
        <v>575</v>
      </c>
      <c r="C34" s="302">
        <v>2599234.4964121915</v>
      </c>
    </row>
    <row r="35" spans="1:3" x14ac:dyDescent="0.25">
      <c r="A35" s="296">
        <v>210043</v>
      </c>
      <c r="B35" s="296" t="s">
        <v>843</v>
      </c>
      <c r="C35" s="302">
        <v>6023616.6413664641</v>
      </c>
    </row>
    <row r="36" spans="1:3" x14ac:dyDescent="0.25">
      <c r="A36" s="296">
        <v>210044</v>
      </c>
      <c r="B36" s="296" t="s">
        <v>518</v>
      </c>
      <c r="C36" s="302">
        <v>2188896.98659926</v>
      </c>
    </row>
    <row r="37" spans="1:3" x14ac:dyDescent="0.25">
      <c r="A37" s="296">
        <v>210045</v>
      </c>
      <c r="B37" s="296" t="s">
        <v>844</v>
      </c>
      <c r="C37" s="302">
        <v>228989.33102499999</v>
      </c>
    </row>
    <row r="38" spans="1:3" x14ac:dyDescent="0.25">
      <c r="A38" s="296">
        <v>210048</v>
      </c>
      <c r="B38" s="296" t="s">
        <v>285</v>
      </c>
      <c r="C38" s="302">
        <v>4684589.3325000005</v>
      </c>
    </row>
    <row r="39" spans="1:3" x14ac:dyDescent="0.25">
      <c r="A39" s="296">
        <v>210049</v>
      </c>
      <c r="B39" s="296" t="s">
        <v>845</v>
      </c>
      <c r="C39" s="302">
        <v>5252699.976787135</v>
      </c>
    </row>
    <row r="40" spans="1:3" x14ac:dyDescent="0.25">
      <c r="A40" s="296">
        <v>210051</v>
      </c>
      <c r="B40" s="296" t="s">
        <v>846</v>
      </c>
      <c r="C40" s="302">
        <v>8723983.4762507994</v>
      </c>
    </row>
    <row r="41" spans="1:3" x14ac:dyDescent="0.25">
      <c r="A41" s="296">
        <v>210056</v>
      </c>
      <c r="B41" s="299" t="s">
        <v>459</v>
      </c>
      <c r="C41" s="302">
        <v>5908643.6511743991</v>
      </c>
    </row>
    <row r="42" spans="1:3" x14ac:dyDescent="0.25">
      <c r="A42" s="296">
        <v>210057</v>
      </c>
      <c r="B42" s="299" t="s">
        <v>847</v>
      </c>
      <c r="C42" s="302">
        <v>3058878.8344400004</v>
      </c>
    </row>
    <row r="43" spans="1:3" x14ac:dyDescent="0.25">
      <c r="A43" s="296">
        <v>210058</v>
      </c>
      <c r="B43" s="299" t="s">
        <v>848</v>
      </c>
      <c r="C43" s="302">
        <v>0</v>
      </c>
    </row>
    <row r="44" spans="1:3" x14ac:dyDescent="0.25">
      <c r="A44" s="296">
        <v>210060</v>
      </c>
      <c r="B44" s="299" t="s">
        <v>232</v>
      </c>
      <c r="C44" s="302">
        <v>1087071.6580761801</v>
      </c>
    </row>
    <row r="45" spans="1:3" x14ac:dyDescent="0.25">
      <c r="A45" s="296">
        <v>210061</v>
      </c>
      <c r="B45" s="299" t="s">
        <v>242</v>
      </c>
      <c r="C45" s="302">
        <v>2722729.1859949999</v>
      </c>
    </row>
    <row r="46" spans="1:3" x14ac:dyDescent="0.25">
      <c r="A46" s="296">
        <v>210062</v>
      </c>
      <c r="B46" s="299" t="s">
        <v>849</v>
      </c>
      <c r="C46" s="302">
        <v>5084691.2335352004</v>
      </c>
    </row>
    <row r="47" spans="1:3" x14ac:dyDescent="0.25">
      <c r="A47" s="296">
        <v>210063</v>
      </c>
      <c r="B47" s="299" t="s">
        <v>850</v>
      </c>
      <c r="C47" s="302">
        <v>5363889.8433091566</v>
      </c>
    </row>
    <row r="48" spans="1:3" x14ac:dyDescent="0.25">
      <c r="A48" s="296">
        <v>210064</v>
      </c>
      <c r="B48" s="299" t="s">
        <v>198</v>
      </c>
      <c r="C48" s="302">
        <v>0</v>
      </c>
    </row>
    <row r="49" spans="1:5" x14ac:dyDescent="0.25">
      <c r="A49" s="296">
        <v>210065</v>
      </c>
      <c r="B49" s="299" t="s">
        <v>851</v>
      </c>
      <c r="C49" s="302">
        <v>5384740.8035159996</v>
      </c>
    </row>
    <row r="50" spans="1:5" x14ac:dyDescent="0.25">
      <c r="A50" s="296">
        <v>213300</v>
      </c>
      <c r="B50" s="299" t="s">
        <v>852</v>
      </c>
      <c r="C50" s="302">
        <v>0</v>
      </c>
    </row>
    <row r="51" spans="1:5" x14ac:dyDescent="0.25">
      <c r="A51" s="296">
        <v>214000</v>
      </c>
      <c r="B51" s="299" t="s">
        <v>199</v>
      </c>
      <c r="C51" s="302">
        <v>0</v>
      </c>
    </row>
    <row r="52" spans="1:5" x14ac:dyDescent="0.25">
      <c r="A52" s="296">
        <v>213029</v>
      </c>
      <c r="B52" s="299" t="s">
        <v>853</v>
      </c>
      <c r="C52" s="302">
        <v>0</v>
      </c>
    </row>
    <row r="53" spans="1:5" x14ac:dyDescent="0.25">
      <c r="A53" s="305"/>
      <c r="B53" s="306" t="s">
        <v>195</v>
      </c>
      <c r="C53" s="307">
        <f>SUM(C3:C52)</f>
        <v>301541376.74841863</v>
      </c>
    </row>
    <row r="54" spans="1:5" x14ac:dyDescent="0.25">
      <c r="C54" s="303"/>
    </row>
    <row r="57" spans="1:5" x14ac:dyDescent="0.25">
      <c r="E57" s="303"/>
    </row>
  </sheetData>
  <sheetProtection algorithmName="SHA-512" hashValue="BpY2bEpUOcimL0gnhpJKYMIrQfW5VjA50HaJJtgI6Q9qBZ6OaoZ34Y3k6JrnDO0weRxeP8v+zhx/c87Goxgmeg==" saltValue="MTmoLYq8D7+p/CX6YgiLRQ==" spinCount="100000" sheet="1" objects="1" scenarios="1"/>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56"/>
  <sheetViews>
    <sheetView zoomScale="85" zoomScaleNormal="85"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447</v>
      </c>
      <c r="D5" s="437"/>
      <c r="E5" s="437"/>
      <c r="F5" s="437"/>
      <c r="G5" s="438"/>
    </row>
    <row r="6" spans="1:11" ht="18" customHeight="1" x14ac:dyDescent="0.2">
      <c r="B6" s="435" t="s">
        <v>3</v>
      </c>
      <c r="C6" s="439">
        <v>210015</v>
      </c>
      <c r="D6" s="440"/>
      <c r="E6" s="440"/>
      <c r="F6" s="440"/>
      <c r="G6" s="441"/>
    </row>
    <row r="7" spans="1:11" ht="18" customHeight="1" x14ac:dyDescent="0.2">
      <c r="B7" s="435" t="s">
        <v>4</v>
      </c>
      <c r="C7" s="492">
        <v>3013</v>
      </c>
      <c r="D7" s="493"/>
      <c r="E7" s="493"/>
      <c r="F7" s="493"/>
      <c r="G7" s="494"/>
    </row>
    <row r="9" spans="1:11" ht="18" customHeight="1" x14ac:dyDescent="0.2">
      <c r="B9" s="435" t="s">
        <v>1</v>
      </c>
      <c r="C9" s="436" t="s">
        <v>500</v>
      </c>
      <c r="D9" s="437"/>
      <c r="E9" s="437"/>
      <c r="F9" s="437"/>
      <c r="G9" s="438"/>
    </row>
    <row r="10" spans="1:11" ht="18" customHeight="1" x14ac:dyDescent="0.2">
      <c r="B10" s="435" t="s">
        <v>2</v>
      </c>
      <c r="C10" s="445" t="s">
        <v>501</v>
      </c>
      <c r="D10" s="632"/>
      <c r="E10" s="632"/>
      <c r="F10" s="632"/>
      <c r="G10" s="633"/>
    </row>
    <row r="11" spans="1:11" ht="18" customHeight="1" x14ac:dyDescent="0.2">
      <c r="B11" s="435" t="s">
        <v>32</v>
      </c>
      <c r="C11" s="445" t="s">
        <v>502</v>
      </c>
      <c r="D11" s="632"/>
      <c r="E11" s="632"/>
      <c r="F11" s="632"/>
      <c r="G11" s="633"/>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11105734.634809043</v>
      </c>
      <c r="I18" s="133">
        <v>0</v>
      </c>
      <c r="J18" s="118">
        <v>9386537.2635481432</v>
      </c>
      <c r="K18" s="118">
        <f>(H18+I18)-J18</f>
        <v>1719197.3712609001</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935.5</v>
      </c>
      <c r="G21" s="221">
        <v>4953</v>
      </c>
      <c r="H21" s="118">
        <v>81793</v>
      </c>
      <c r="I21" s="133">
        <v>41159</v>
      </c>
      <c r="J21" s="118">
        <v>29685</v>
      </c>
      <c r="K21" s="118">
        <f t="shared" ref="K21:K34" si="0">(H21+I21)-J21</f>
        <v>93267</v>
      </c>
    </row>
    <row r="22" spans="1:11" ht="18" customHeight="1" x14ac:dyDescent="0.2">
      <c r="A22" s="435" t="s">
        <v>76</v>
      </c>
      <c r="B22" s="259" t="s">
        <v>6</v>
      </c>
      <c r="F22" s="221">
        <v>275</v>
      </c>
      <c r="G22" s="221">
        <v>1138</v>
      </c>
      <c r="H22" s="118">
        <v>15557</v>
      </c>
      <c r="I22" s="133">
        <v>10072</v>
      </c>
      <c r="J22" s="118">
        <v>0</v>
      </c>
      <c r="K22" s="118">
        <f t="shared" si="0"/>
        <v>25629</v>
      </c>
    </row>
    <row r="23" spans="1:11" ht="18" customHeight="1" x14ac:dyDescent="0.2">
      <c r="A23" s="435" t="s">
        <v>77</v>
      </c>
      <c r="B23" s="259" t="s">
        <v>43</v>
      </c>
      <c r="F23" s="221"/>
      <c r="G23" s="221"/>
      <c r="H23" s="118"/>
      <c r="I23" s="133">
        <f t="shared" ref="I23:I34" si="1">H23*F$114</f>
        <v>0</v>
      </c>
      <c r="J23" s="118"/>
      <c r="K23" s="118">
        <f t="shared" si="0"/>
        <v>0</v>
      </c>
    </row>
    <row r="24" spans="1:11" ht="18" customHeight="1" x14ac:dyDescent="0.2">
      <c r="A24" s="435" t="s">
        <v>78</v>
      </c>
      <c r="B24" s="259" t="s">
        <v>44</v>
      </c>
      <c r="F24" s="221"/>
      <c r="G24" s="221"/>
      <c r="H24" s="118"/>
      <c r="I24" s="133">
        <f t="shared" si="1"/>
        <v>0</v>
      </c>
      <c r="J24" s="118"/>
      <c r="K24" s="118">
        <f t="shared" si="0"/>
        <v>0</v>
      </c>
    </row>
    <row r="25" spans="1:11" ht="18" customHeight="1" x14ac:dyDescent="0.2">
      <c r="A25" s="435" t="s">
        <v>79</v>
      </c>
      <c r="B25" s="259" t="s">
        <v>5</v>
      </c>
      <c r="F25" s="221">
        <v>7185.4</v>
      </c>
      <c r="G25" s="221">
        <v>86290</v>
      </c>
      <c r="H25" s="118">
        <v>325777</v>
      </c>
      <c r="I25" s="133">
        <v>218558</v>
      </c>
      <c r="J25" s="118">
        <v>0</v>
      </c>
      <c r="K25" s="118">
        <f t="shared" si="0"/>
        <v>544335</v>
      </c>
    </row>
    <row r="26" spans="1:11" ht="18" customHeight="1" x14ac:dyDescent="0.2">
      <c r="A26" s="435" t="s">
        <v>80</v>
      </c>
      <c r="B26" s="259" t="s">
        <v>45</v>
      </c>
      <c r="F26" s="221">
        <v>148.5</v>
      </c>
      <c r="G26" s="221">
        <v>2880</v>
      </c>
      <c r="H26" s="118">
        <v>24629</v>
      </c>
      <c r="I26" s="133">
        <v>0</v>
      </c>
      <c r="J26" s="118">
        <v>0</v>
      </c>
      <c r="K26" s="118">
        <f t="shared" si="0"/>
        <v>24629</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804.2</v>
      </c>
      <c r="G29" s="221">
        <v>1114</v>
      </c>
      <c r="H29" s="118">
        <v>431398</v>
      </c>
      <c r="I29" s="133">
        <v>158654</v>
      </c>
      <c r="J29" s="118">
        <v>0</v>
      </c>
      <c r="K29" s="118">
        <f t="shared" si="0"/>
        <v>590052</v>
      </c>
    </row>
    <row r="30" spans="1:11" ht="18" customHeight="1" x14ac:dyDescent="0.2">
      <c r="A30" s="435" t="s">
        <v>84</v>
      </c>
      <c r="B30" s="456" t="s">
        <v>680</v>
      </c>
      <c r="C30" s="457"/>
      <c r="D30" s="458"/>
      <c r="F30" s="221">
        <v>21</v>
      </c>
      <c r="G30" s="221">
        <v>95</v>
      </c>
      <c r="H30" s="118">
        <v>1295</v>
      </c>
      <c r="I30" s="133">
        <v>666</v>
      </c>
      <c r="J30" s="118">
        <v>0</v>
      </c>
      <c r="K30" s="118">
        <f t="shared" si="0"/>
        <v>1961</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9369.6</v>
      </c>
      <c r="G36" s="221">
        <f t="shared" si="2"/>
        <v>96470</v>
      </c>
      <c r="H36" s="221">
        <f t="shared" si="2"/>
        <v>880449</v>
      </c>
      <c r="I36" s="118">
        <f t="shared" si="2"/>
        <v>429109</v>
      </c>
      <c r="J36" s="118">
        <f t="shared" si="2"/>
        <v>29685</v>
      </c>
      <c r="K36" s="118">
        <f t="shared" si="2"/>
        <v>1279873</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154481</v>
      </c>
      <c r="G40" s="221">
        <v>1550</v>
      </c>
      <c r="H40" s="118">
        <v>9132576</v>
      </c>
      <c r="I40" s="133">
        <v>6137090</v>
      </c>
      <c r="J40" s="118">
        <v>3500</v>
      </c>
      <c r="K40" s="118">
        <f t="shared" ref="K40:K47" si="3">(H40+I40)-J40</f>
        <v>15266166</v>
      </c>
    </row>
    <row r="41" spans="1:11" ht="18" customHeight="1" x14ac:dyDescent="0.2">
      <c r="A41" s="435" t="s">
        <v>88</v>
      </c>
      <c r="B41" s="465" t="s">
        <v>50</v>
      </c>
      <c r="C41" s="466"/>
      <c r="F41" s="221">
        <v>9830.6</v>
      </c>
      <c r="G41" s="221">
        <v>618</v>
      </c>
      <c r="H41" s="118">
        <v>550950</v>
      </c>
      <c r="I41" s="133">
        <v>370239</v>
      </c>
      <c r="J41" s="118">
        <v>0</v>
      </c>
      <c r="K41" s="118">
        <f t="shared" si="3"/>
        <v>921189</v>
      </c>
    </row>
    <row r="42" spans="1:11" ht="18" customHeight="1" x14ac:dyDescent="0.2">
      <c r="A42" s="435" t="s">
        <v>89</v>
      </c>
      <c r="B42" s="419" t="s">
        <v>11</v>
      </c>
      <c r="F42" s="221">
        <v>4591</v>
      </c>
      <c r="G42" s="221">
        <v>875</v>
      </c>
      <c r="H42" s="118">
        <v>96189</v>
      </c>
      <c r="I42" s="133">
        <v>64640</v>
      </c>
      <c r="J42" s="118">
        <v>0</v>
      </c>
      <c r="K42" s="118">
        <f t="shared" si="3"/>
        <v>160829</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168902.6</v>
      </c>
      <c r="G49" s="409">
        <f t="shared" si="4"/>
        <v>3043</v>
      </c>
      <c r="H49" s="118">
        <f t="shared" si="4"/>
        <v>9779715</v>
      </c>
      <c r="I49" s="118">
        <f t="shared" si="4"/>
        <v>6571969</v>
      </c>
      <c r="J49" s="118">
        <f t="shared" si="4"/>
        <v>3500</v>
      </c>
      <c r="K49" s="118">
        <f t="shared" si="4"/>
        <v>16348184</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681</v>
      </c>
      <c r="C53" s="411"/>
      <c r="D53" s="412"/>
      <c r="F53" s="221">
        <v>0</v>
      </c>
      <c r="G53" s="221">
        <v>0</v>
      </c>
      <c r="H53" s="118">
        <v>15630459</v>
      </c>
      <c r="I53" s="133">
        <v>0</v>
      </c>
      <c r="J53" s="118">
        <v>7214772</v>
      </c>
      <c r="K53" s="118">
        <f t="shared" ref="K53:K62" si="5">(H53+I53)-J53</f>
        <v>8415687</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t="s">
        <v>682</v>
      </c>
      <c r="C55" s="417"/>
      <c r="D55" s="412"/>
      <c r="F55" s="221">
        <v>0</v>
      </c>
      <c r="G55" s="221">
        <v>0</v>
      </c>
      <c r="H55" s="118">
        <v>7278272</v>
      </c>
      <c r="I55" s="133">
        <v>0</v>
      </c>
      <c r="J55" s="118">
        <v>5574158</v>
      </c>
      <c r="K55" s="118">
        <f t="shared" si="5"/>
        <v>1704114</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t="s">
        <v>326</v>
      </c>
      <c r="C57" s="417"/>
      <c r="D57" s="412"/>
      <c r="F57" s="221">
        <v>0</v>
      </c>
      <c r="G57" s="221">
        <v>0</v>
      </c>
      <c r="H57" s="118">
        <v>11985120</v>
      </c>
      <c r="I57" s="133">
        <v>0</v>
      </c>
      <c r="J57" s="118">
        <v>8323526</v>
      </c>
      <c r="K57" s="118">
        <f t="shared" si="5"/>
        <v>3661594</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t="s">
        <v>390</v>
      </c>
      <c r="C61" s="414"/>
      <c r="D61" s="415"/>
      <c r="F61" s="221">
        <v>0</v>
      </c>
      <c r="G61" s="221">
        <v>0</v>
      </c>
      <c r="H61" s="118">
        <v>393347</v>
      </c>
      <c r="I61" s="133">
        <v>0</v>
      </c>
      <c r="J61" s="118">
        <v>192659</v>
      </c>
      <c r="K61" s="118">
        <f t="shared" si="5"/>
        <v>200688</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35287198</v>
      </c>
      <c r="I64" s="118">
        <f t="shared" si="6"/>
        <v>0</v>
      </c>
      <c r="J64" s="118">
        <f t="shared" si="6"/>
        <v>21305115</v>
      </c>
      <c r="K64" s="118">
        <f t="shared" si="6"/>
        <v>13982083</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39418</v>
      </c>
      <c r="I77" s="133">
        <v>0</v>
      </c>
      <c r="J77" s="118">
        <v>0</v>
      </c>
      <c r="K77" s="118">
        <f>(H77+I77)-J77</f>
        <v>39418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123</v>
      </c>
      <c r="G79" s="221">
        <v>4341</v>
      </c>
      <c r="H79" s="118">
        <v>97363</v>
      </c>
      <c r="I79" s="133">
        <v>5677</v>
      </c>
      <c r="J79" s="118">
        <v>350</v>
      </c>
      <c r="K79" s="118">
        <f>(H79+I79)-J79</f>
        <v>102690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123</v>
      </c>
      <c r="G82" s="122">
        <f t="shared" si="8"/>
        <v>4341</v>
      </c>
      <c r="H82" s="118">
        <f t="shared" si="8"/>
        <v>136781</v>
      </c>
      <c r="I82" s="118">
        <f t="shared" si="8"/>
        <v>5677</v>
      </c>
      <c r="J82" s="118">
        <f t="shared" si="8"/>
        <v>350</v>
      </c>
      <c r="K82" s="118">
        <f t="shared" si="8"/>
        <v>142108</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192</v>
      </c>
      <c r="G88" s="221">
        <v>560</v>
      </c>
      <c r="H88" s="118">
        <v>7518</v>
      </c>
      <c r="I88" s="133">
        <v>5053</v>
      </c>
      <c r="J88" s="118">
        <v>0</v>
      </c>
      <c r="K88" s="118">
        <f t="shared" si="10"/>
        <v>12571</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v>29</v>
      </c>
      <c r="G92" s="257">
        <v>70</v>
      </c>
      <c r="H92" s="429">
        <v>26986</v>
      </c>
      <c r="I92" s="133">
        <v>0</v>
      </c>
      <c r="J92" s="429">
        <v>0</v>
      </c>
      <c r="K92" s="118">
        <f t="shared" si="10"/>
        <v>26986</v>
      </c>
    </row>
    <row r="93" spans="1:11" ht="18" customHeight="1" x14ac:dyDescent="0.2">
      <c r="A93" s="435" t="s">
        <v>122</v>
      </c>
      <c r="B93" s="419" t="s">
        <v>123</v>
      </c>
      <c r="F93" s="221">
        <v>0</v>
      </c>
      <c r="G93" s="221">
        <v>0</v>
      </c>
      <c r="H93" s="118">
        <v>295859</v>
      </c>
      <c r="I93" s="133">
        <v>0</v>
      </c>
      <c r="J93" s="118">
        <v>0</v>
      </c>
      <c r="K93" s="118">
        <f t="shared" si="10"/>
        <v>295859</v>
      </c>
    </row>
    <row r="94" spans="1:11" ht="18" customHeight="1" x14ac:dyDescent="0.2">
      <c r="A94" s="435" t="s">
        <v>124</v>
      </c>
      <c r="B94" s="418" t="s">
        <v>683</v>
      </c>
      <c r="C94" s="417"/>
      <c r="D94" s="412"/>
      <c r="F94" s="221">
        <v>2</v>
      </c>
      <c r="G94" s="221">
        <v>3</v>
      </c>
      <c r="H94" s="118">
        <v>87</v>
      </c>
      <c r="I94" s="133">
        <v>58</v>
      </c>
      <c r="J94" s="118">
        <v>0</v>
      </c>
      <c r="K94" s="118">
        <f t="shared" si="10"/>
        <v>145</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223</v>
      </c>
      <c r="G98" s="221">
        <f t="shared" si="11"/>
        <v>633</v>
      </c>
      <c r="H98" s="221">
        <f t="shared" si="11"/>
        <v>330450</v>
      </c>
      <c r="I98" s="221">
        <f t="shared" si="11"/>
        <v>5111</v>
      </c>
      <c r="J98" s="221">
        <f t="shared" si="11"/>
        <v>0</v>
      </c>
      <c r="K98" s="221">
        <f t="shared" si="11"/>
        <v>335561</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2576</v>
      </c>
      <c r="G102" s="221">
        <v>0</v>
      </c>
      <c r="H102" s="118">
        <v>226304</v>
      </c>
      <c r="I102" s="133">
        <v>100514</v>
      </c>
      <c r="J102" s="118">
        <v>0</v>
      </c>
      <c r="K102" s="118">
        <f>(H102+I102)-J102</f>
        <v>326818</v>
      </c>
    </row>
    <row r="103" spans="1:11" ht="18" customHeight="1" x14ac:dyDescent="0.2">
      <c r="A103" s="435" t="s">
        <v>132</v>
      </c>
      <c r="B103" s="465" t="s">
        <v>62</v>
      </c>
      <c r="C103" s="465"/>
      <c r="F103" s="221">
        <v>38</v>
      </c>
      <c r="G103" s="221">
        <v>0</v>
      </c>
      <c r="H103" s="118">
        <v>6623</v>
      </c>
      <c r="I103" s="133">
        <v>4451</v>
      </c>
      <c r="J103" s="118">
        <v>0</v>
      </c>
      <c r="K103" s="118">
        <f>(H103+I103)-J103</f>
        <v>11074</v>
      </c>
    </row>
    <row r="104" spans="1:11" ht="18" customHeight="1" x14ac:dyDescent="0.2">
      <c r="A104" s="435" t="s">
        <v>128</v>
      </c>
      <c r="B104" s="418" t="s">
        <v>684</v>
      </c>
      <c r="C104" s="417"/>
      <c r="D104" s="412"/>
      <c r="F104" s="221">
        <v>2</v>
      </c>
      <c r="G104" s="221">
        <v>0</v>
      </c>
      <c r="H104" s="118">
        <v>735</v>
      </c>
      <c r="I104" s="133">
        <v>0</v>
      </c>
      <c r="J104" s="118">
        <v>0</v>
      </c>
      <c r="K104" s="118">
        <f>(H104+I104)-J104</f>
        <v>735</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2616</v>
      </c>
      <c r="G108" s="221">
        <f t="shared" si="12"/>
        <v>0</v>
      </c>
      <c r="H108" s="118">
        <f t="shared" si="12"/>
        <v>233662</v>
      </c>
      <c r="I108" s="118">
        <f t="shared" si="12"/>
        <v>104965</v>
      </c>
      <c r="J108" s="118">
        <f t="shared" si="12"/>
        <v>0</v>
      </c>
      <c r="K108" s="118">
        <f t="shared" si="12"/>
        <v>338627</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7344175</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0.67190000000000005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541401229</v>
      </c>
    </row>
    <row r="118" spans="1:6" ht="18" customHeight="1" x14ac:dyDescent="0.2">
      <c r="A118" s="435" t="s">
        <v>173</v>
      </c>
      <c r="B118" s="259" t="s">
        <v>18</v>
      </c>
      <c r="F118" s="118">
        <v>9307971</v>
      </c>
    </row>
    <row r="119" spans="1:6" ht="18" customHeight="1" x14ac:dyDescent="0.2">
      <c r="A119" s="435" t="s">
        <v>174</v>
      </c>
      <c r="B119" s="421" t="s">
        <v>19</v>
      </c>
      <c r="F119" s="118">
        <f>SUM(F117:F118)</f>
        <v>550709200</v>
      </c>
    </row>
    <row r="120" spans="1:6" ht="18" customHeight="1" x14ac:dyDescent="0.2">
      <c r="A120" s="435"/>
      <c r="B120" s="421"/>
    </row>
    <row r="121" spans="1:6" ht="18" customHeight="1" x14ac:dyDescent="0.2">
      <c r="A121" s="435" t="s">
        <v>167</v>
      </c>
      <c r="B121" s="421" t="s">
        <v>36</v>
      </c>
      <c r="F121" s="118">
        <v>518888097</v>
      </c>
    </row>
    <row r="122" spans="1:6" ht="18" customHeight="1" x14ac:dyDescent="0.2">
      <c r="A122" s="435"/>
    </row>
    <row r="123" spans="1:6" ht="18" customHeight="1" x14ac:dyDescent="0.2">
      <c r="A123" s="435" t="s">
        <v>175</v>
      </c>
      <c r="B123" s="421" t="s">
        <v>20</v>
      </c>
      <c r="F123" s="118">
        <f>+F119-F121</f>
        <v>31821103</v>
      </c>
    </row>
    <row r="124" spans="1:6" ht="18" customHeight="1" x14ac:dyDescent="0.2">
      <c r="A124" s="435"/>
    </row>
    <row r="125" spans="1:6" ht="18" customHeight="1" x14ac:dyDescent="0.2">
      <c r="A125" s="435" t="s">
        <v>176</v>
      </c>
      <c r="B125" s="421" t="s">
        <v>21</v>
      </c>
      <c r="F125" s="118">
        <v>575873</v>
      </c>
    </row>
    <row r="126" spans="1:6" ht="18" customHeight="1" x14ac:dyDescent="0.2">
      <c r="A126" s="435"/>
    </row>
    <row r="127" spans="1:6" ht="18" customHeight="1" x14ac:dyDescent="0.2">
      <c r="A127" s="435" t="s">
        <v>177</v>
      </c>
      <c r="B127" s="421" t="s">
        <v>22</v>
      </c>
      <c r="F127" s="118">
        <f>+F123+F125</f>
        <v>32396976</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9369.6</v>
      </c>
      <c r="G141" s="422">
        <f t="shared" si="14"/>
        <v>96470</v>
      </c>
      <c r="H141" s="422">
        <f t="shared" si="14"/>
        <v>880449</v>
      </c>
      <c r="I141" s="422">
        <f t="shared" si="14"/>
        <v>429109</v>
      </c>
      <c r="J141" s="422">
        <f t="shared" si="14"/>
        <v>29685</v>
      </c>
      <c r="K141" s="422">
        <f t="shared" si="14"/>
        <v>1279873</v>
      </c>
    </row>
    <row r="142" spans="1:11" ht="18" customHeight="1" x14ac:dyDescent="0.2">
      <c r="A142" s="435" t="s">
        <v>142</v>
      </c>
      <c r="B142" s="421" t="s">
        <v>65</v>
      </c>
      <c r="F142" s="422">
        <f t="shared" ref="F142:K142" si="15">F49</f>
        <v>168902.6</v>
      </c>
      <c r="G142" s="422">
        <f t="shared" si="15"/>
        <v>3043</v>
      </c>
      <c r="H142" s="422">
        <f t="shared" si="15"/>
        <v>9779715</v>
      </c>
      <c r="I142" s="422">
        <f t="shared" si="15"/>
        <v>6571969</v>
      </c>
      <c r="J142" s="422">
        <f t="shared" si="15"/>
        <v>3500</v>
      </c>
      <c r="K142" s="422">
        <f t="shared" si="15"/>
        <v>16348184</v>
      </c>
    </row>
    <row r="143" spans="1:11" ht="18" customHeight="1" x14ac:dyDescent="0.2">
      <c r="A143" s="435" t="s">
        <v>144</v>
      </c>
      <c r="B143" s="421" t="s">
        <v>66</v>
      </c>
      <c r="F143" s="422">
        <f t="shared" ref="F143:K143" si="16">F64</f>
        <v>0</v>
      </c>
      <c r="G143" s="422">
        <f t="shared" si="16"/>
        <v>0</v>
      </c>
      <c r="H143" s="422">
        <f t="shared" si="16"/>
        <v>35287198</v>
      </c>
      <c r="I143" s="422">
        <f t="shared" si="16"/>
        <v>0</v>
      </c>
      <c r="J143" s="422">
        <f t="shared" si="16"/>
        <v>21305115</v>
      </c>
      <c r="K143" s="422">
        <f t="shared" si="16"/>
        <v>13982083</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123</v>
      </c>
      <c r="G145" s="422">
        <f t="shared" si="18"/>
        <v>4341</v>
      </c>
      <c r="H145" s="422">
        <f t="shared" si="18"/>
        <v>136781</v>
      </c>
      <c r="I145" s="422">
        <f t="shared" si="18"/>
        <v>5677</v>
      </c>
      <c r="J145" s="422">
        <f t="shared" si="18"/>
        <v>350</v>
      </c>
      <c r="K145" s="422">
        <f t="shared" si="18"/>
        <v>142108</v>
      </c>
    </row>
    <row r="146" spans="1:11" ht="18" customHeight="1" x14ac:dyDescent="0.2">
      <c r="A146" s="435" t="s">
        <v>150</v>
      </c>
      <c r="B146" s="421" t="s">
        <v>69</v>
      </c>
      <c r="F146" s="422">
        <f t="shared" ref="F146:K146" si="19">F98</f>
        <v>223</v>
      </c>
      <c r="G146" s="422">
        <f t="shared" si="19"/>
        <v>633</v>
      </c>
      <c r="H146" s="422">
        <f t="shared" si="19"/>
        <v>330450</v>
      </c>
      <c r="I146" s="422">
        <f t="shared" si="19"/>
        <v>5111</v>
      </c>
      <c r="J146" s="422">
        <f t="shared" si="19"/>
        <v>0</v>
      </c>
      <c r="K146" s="422">
        <f t="shared" si="19"/>
        <v>335561</v>
      </c>
    </row>
    <row r="147" spans="1:11" ht="18" customHeight="1" x14ac:dyDescent="0.2">
      <c r="A147" s="435" t="s">
        <v>153</v>
      </c>
      <c r="B147" s="421" t="s">
        <v>61</v>
      </c>
      <c r="F147" s="221">
        <f t="shared" ref="F147:K147" si="20">F108</f>
        <v>2616</v>
      </c>
      <c r="G147" s="221">
        <f t="shared" si="20"/>
        <v>0</v>
      </c>
      <c r="H147" s="221">
        <f t="shared" si="20"/>
        <v>233662</v>
      </c>
      <c r="I147" s="221">
        <f t="shared" si="20"/>
        <v>104965</v>
      </c>
      <c r="J147" s="221">
        <f t="shared" si="20"/>
        <v>0</v>
      </c>
      <c r="K147" s="221">
        <f t="shared" si="20"/>
        <v>338627</v>
      </c>
    </row>
    <row r="148" spans="1:11" ht="18" customHeight="1" x14ac:dyDescent="0.2">
      <c r="A148" s="435" t="s">
        <v>155</v>
      </c>
      <c r="B148" s="421" t="s">
        <v>70</v>
      </c>
      <c r="F148" s="485" t="s">
        <v>73</v>
      </c>
      <c r="G148" s="485" t="s">
        <v>73</v>
      </c>
      <c r="H148" s="486" t="s">
        <v>73</v>
      </c>
      <c r="I148" s="486" t="s">
        <v>73</v>
      </c>
      <c r="J148" s="486" t="s">
        <v>73</v>
      </c>
      <c r="K148" s="423">
        <f>F111</f>
        <v>7344175</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11105734.634809043</v>
      </c>
      <c r="I150" s="221">
        <f>I18</f>
        <v>0</v>
      </c>
      <c r="J150" s="221">
        <f>J18</f>
        <v>9386537.2635481432</v>
      </c>
      <c r="K150" s="221">
        <f>K18</f>
        <v>1719197.3712609001</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181234.2</v>
      </c>
      <c r="G152" s="487">
        <f t="shared" si="22"/>
        <v>104487</v>
      </c>
      <c r="H152" s="487">
        <f t="shared" si="22"/>
        <v>57753989.634809047</v>
      </c>
      <c r="I152" s="487">
        <f t="shared" si="22"/>
        <v>7116831</v>
      </c>
      <c r="J152" s="487">
        <f t="shared" si="22"/>
        <v>30725187.263548143</v>
      </c>
      <c r="K152" s="487">
        <f t="shared" si="22"/>
        <v>41489808.371260896</v>
      </c>
    </row>
    <row r="153" spans="1:11" ht="18" customHeight="1" x14ac:dyDescent="0.2">
      <c r="K153" s="516"/>
    </row>
    <row r="154" spans="1:11" ht="18" customHeight="1" x14ac:dyDescent="0.2">
      <c r="A154" s="455" t="s">
        <v>168</v>
      </c>
      <c r="B154" s="421" t="s">
        <v>28</v>
      </c>
      <c r="F154" s="140">
        <f>K152/F121</f>
        <v>7.9959067496707087E-2</v>
      </c>
    </row>
    <row r="155" spans="1:11" ht="18" customHeight="1" x14ac:dyDescent="0.2">
      <c r="A155" s="455" t="s">
        <v>169</v>
      </c>
      <c r="B155" s="421" t="s">
        <v>72</v>
      </c>
      <c r="F155" s="140">
        <f>K152/F127</f>
        <v>1.2806691702108524</v>
      </c>
      <c r="G155" s="421"/>
      <c r="K155" s="516"/>
    </row>
    <row r="156" spans="1:11" ht="18" customHeight="1" x14ac:dyDescent="0.2">
      <c r="G156" s="421"/>
    </row>
  </sheetData>
  <sheetProtection algorithmName="SHA-512" hashValue="oW5OoRK1akPWg89gGlO68fVcUASCxXENEIunBYHXs4741ZcPY/1VB0QGei1zCwurznLyYzi286spzoUwL4TFOA==" saltValue="Owb+NcLkf7Iu6y9NU3wEmA==" spinCount="100000" sheet="1" objects="1" scenarios="1"/>
  <mergeCells count="34">
    <mergeCell ref="B44:D44"/>
    <mergeCell ref="B45:D45"/>
    <mergeCell ref="B41:C41"/>
    <mergeCell ref="D2:H2"/>
    <mergeCell ref="C5:G5"/>
    <mergeCell ref="C6:G6"/>
    <mergeCell ref="C7:G7"/>
    <mergeCell ref="C9:G9"/>
    <mergeCell ref="C10:G10"/>
    <mergeCell ref="C11:G11"/>
    <mergeCell ref="B30:D30"/>
    <mergeCell ref="B31:D31"/>
    <mergeCell ref="B34:D34"/>
    <mergeCell ref="B13:H13"/>
    <mergeCell ref="B46:D46"/>
    <mergeCell ref="B47:D47"/>
    <mergeCell ref="B52:C52"/>
    <mergeCell ref="B94:D94"/>
    <mergeCell ref="B95:D95"/>
    <mergeCell ref="B57:D57"/>
    <mergeCell ref="B59:D59"/>
    <mergeCell ref="B62:D62"/>
    <mergeCell ref="B96:D96"/>
    <mergeCell ref="B103:C103"/>
    <mergeCell ref="B104:D104"/>
    <mergeCell ref="B90:C90"/>
    <mergeCell ref="B53:D53"/>
    <mergeCell ref="B55:D55"/>
    <mergeCell ref="B56:D56"/>
    <mergeCell ref="B106:D106"/>
    <mergeCell ref="B133:D133"/>
    <mergeCell ref="B134:D134"/>
    <mergeCell ref="B135:D135"/>
    <mergeCell ref="B105:D105"/>
  </mergeCells>
  <pageMargins left="0.7" right="0.7" top="0.75" bottom="0.75" header="0.3" footer="0.3"/>
  <pageSetup scale="55" orientation="landscape" r:id="rId1"/>
  <headerFooter>
    <oddFooter>&amp;L&amp;Z&amp;F&amp;A&amp;R&amp;P of &amp;N</oddFooter>
  </headerFooter>
  <rowBreaks count="2" manualBreakCount="2">
    <brk id="85" max="10" man="1"/>
    <brk id="11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156"/>
  <sheetViews>
    <sheetView showGridLines="0" zoomScale="85" zoomScaleNormal="85"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234</v>
      </c>
      <c r="D5" s="437"/>
      <c r="E5" s="437"/>
      <c r="F5" s="437"/>
      <c r="G5" s="438"/>
    </row>
    <row r="6" spans="1:11" ht="18" customHeight="1" x14ac:dyDescent="0.2">
      <c r="B6" s="435" t="s">
        <v>3</v>
      </c>
      <c r="C6" s="439">
        <v>210016</v>
      </c>
      <c r="D6" s="440"/>
      <c r="E6" s="440"/>
      <c r="F6" s="440"/>
      <c r="G6" s="441"/>
    </row>
    <row r="7" spans="1:11" ht="18" customHeight="1" x14ac:dyDescent="0.2">
      <c r="B7" s="435" t="s">
        <v>4</v>
      </c>
      <c r="C7" s="492">
        <v>1342</v>
      </c>
      <c r="D7" s="493"/>
      <c r="E7" s="493"/>
      <c r="F7" s="493"/>
      <c r="G7" s="494"/>
    </row>
    <row r="9" spans="1:11" ht="18" customHeight="1" x14ac:dyDescent="0.2">
      <c r="B9" s="435" t="s">
        <v>1</v>
      </c>
      <c r="C9" s="436" t="s">
        <v>613</v>
      </c>
      <c r="D9" s="437"/>
      <c r="E9" s="437"/>
      <c r="F9" s="437"/>
      <c r="G9" s="438"/>
    </row>
    <row r="10" spans="1:11" ht="18" customHeight="1" x14ac:dyDescent="0.2">
      <c r="B10" s="435" t="s">
        <v>2</v>
      </c>
      <c r="C10" s="445" t="s">
        <v>614</v>
      </c>
      <c r="D10" s="446"/>
      <c r="E10" s="446"/>
      <c r="F10" s="446"/>
      <c r="G10" s="447"/>
    </row>
    <row r="11" spans="1:11" ht="18" customHeight="1" x14ac:dyDescent="0.2">
      <c r="B11" s="435" t="s">
        <v>32</v>
      </c>
      <c r="C11" s="634" t="s">
        <v>615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5966592.2999999998</v>
      </c>
      <c r="I18" s="133">
        <v>0</v>
      </c>
      <c r="J18" s="118">
        <v>5042947.8899999997</v>
      </c>
      <c r="K18" s="118">
        <f>(H18+I18)-J18</f>
        <v>923644.41000000015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f>'[10]CB Master List - FY18 &amp; CY17'!$AB$40</f>
        <v>3675.1294802734474</v>
      </c>
      <c r="G21" s="221">
        <f>'[10]CB Master List - FY18 &amp; CY17'!$AC$40</f>
        <v>670.65106171315233</v>
      </c>
      <c r="H21" s="118">
        <f>'[10]CB Master List - FY18 &amp; CY17'!$AD$40</f>
        <v>175414.12095969002</v>
      </c>
      <c r="I21" s="133">
        <f t="shared" ref="I21:I28" si="0">H21*$F$114</f>
        <v>105873.3596481248</v>
      </c>
      <c r="J21" s="118">
        <f>'[10]CB Master List - FY18 &amp; CY17'!$AF$40</f>
        <v>8582.8139358000008</v>
      </c>
      <c r="K21" s="118">
        <f t="shared" ref="K21:K34" si="1">(H21+I21)-J21</f>
        <v>272704.66667201481</v>
      </c>
    </row>
    <row r="22" spans="1:11" ht="18" customHeight="1" x14ac:dyDescent="0.2">
      <c r="A22" s="435" t="s">
        <v>76</v>
      </c>
      <c r="B22" s="259" t="s">
        <v>6</v>
      </c>
      <c r="F22" s="221">
        <f>'[10]CB Master List - FY18 &amp; CY17'!$AB$59</f>
        <v>1201.7770829999999</v>
      </c>
      <c r="G22" s="221"/>
      <c r="H22" s="118">
        <f>'[10]CB Master List - FY18 &amp; CY17'!$AD$59</f>
        <v>94410.950766931492</v>
      </c>
      <c r="I22" s="133">
        <f t="shared" si="0"/>
        <v>56982.8956219877</v>
      </c>
      <c r="J22" s="118">
        <f>'[10]CB Master List - FY18 &amp; CY17'!$AF$59</f>
        <v>24245.467631969997</v>
      </c>
      <c r="K22" s="118">
        <f t="shared" si="1"/>
        <v>127148.3787569492</v>
      </c>
    </row>
    <row r="23" spans="1:11" ht="18" customHeight="1" x14ac:dyDescent="0.2">
      <c r="A23" s="435" t="s">
        <v>77</v>
      </c>
      <c r="B23" s="259" t="s">
        <v>43</v>
      </c>
      <c r="F23" s="221">
        <f>'[10]CB Master List - FY18 &amp; CY17'!$AB$64</f>
        <v>423.52127999999999</v>
      </c>
      <c r="G23" s="221"/>
      <c r="H23" s="118">
        <f>'[10]CB Master List - FY18 &amp; CY17'!$AD$64</f>
        <v>17685.559682309999</v>
      </c>
      <c r="I23" s="133">
        <f t="shared" si="0"/>
        <v>10674.338021246673</v>
      </c>
      <c r="J23" s="118">
        <f>'[10]CB Master List - FY18 &amp; CY17'!$AF$64</f>
        <v>1273.6071114000001</v>
      </c>
      <c r="K23" s="118">
        <f t="shared" si="1"/>
        <v>27086.290592156671</v>
      </c>
    </row>
    <row r="24" spans="1:11" ht="18" customHeight="1" x14ac:dyDescent="0.2">
      <c r="A24" s="435" t="s">
        <v>78</v>
      </c>
      <c r="B24" s="259" t="s">
        <v>44</v>
      </c>
      <c r="F24" s="221">
        <f>'[10]CB Master List - FY18 &amp; CY17'!$AB$76</f>
        <v>1471.9</v>
      </c>
      <c r="G24" s="221">
        <f>'[10]CB Master List - FY18 &amp; CY17'!$AC$76</f>
        <v>1781</v>
      </c>
      <c r="H24" s="118"/>
      <c r="I24" s="133">
        <f t="shared" si="0"/>
        <v>0</v>
      </c>
      <c r="J24" s="118"/>
      <c r="K24" s="118">
        <f t="shared" si="1"/>
        <v>0</v>
      </c>
    </row>
    <row r="25" spans="1:11" ht="18" customHeight="1" x14ac:dyDescent="0.2">
      <c r="A25" s="435" t="s">
        <v>79</v>
      </c>
      <c r="B25" s="259" t="s">
        <v>5</v>
      </c>
      <c r="F25" s="221">
        <f>'[10]CB Master List - FY18 &amp; CY17'!$AB$93</f>
        <v>1930.7953859999998</v>
      </c>
      <c r="G25" s="221"/>
      <c r="H25" s="118">
        <f>'[10]CB Master List - FY18 &amp; CY17'!$AD$93</f>
        <v>60274.446224693995</v>
      </c>
      <c r="I25" s="133">
        <f t="shared" si="0"/>
        <v>36379.386607108085</v>
      </c>
      <c r="J25" s="118">
        <f>'[10]CB Master List - FY18 &amp; CY17'!$AF$93</f>
        <v>4517.1467250000005</v>
      </c>
      <c r="K25" s="118">
        <f t="shared" si="1"/>
        <v>92136.686106802081</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f>'[10]CB Master List - FY18 &amp; CY17'!$AB$121</f>
        <v>417.57339713675412</v>
      </c>
      <c r="G29" s="221">
        <f>'[10]CB Master List - FY18 &amp; CY17'!$AC$121</f>
        <v>1783.6520325535055</v>
      </c>
      <c r="H29" s="118">
        <f>'[10]CB Master List - FY18 &amp; CY17'!$AD$121</f>
        <v>2919409.2334690797</v>
      </c>
      <c r="I29" s="133">
        <f>(H29-'[10]CB Master List - FY18 &amp; CY17'!$AD$105)*$F$114</f>
        <v>1724942.8997168324</v>
      </c>
      <c r="J29" s="118">
        <f>'[10]CB Master List - FY18 &amp; CY17'!$AF$121</f>
        <v>23786.158082000002</v>
      </c>
      <c r="K29" s="118">
        <f t="shared" si="1"/>
        <v>4620565.9751039119</v>
      </c>
    </row>
    <row r="30" spans="1:11" ht="18" customHeight="1" x14ac:dyDescent="0.2">
      <c r="A30" s="435" t="s">
        <v>84</v>
      </c>
      <c r="B30" s="416" t="s">
        <v>193</v>
      </c>
      <c r="C30" s="635"/>
      <c r="D30" s="636"/>
      <c r="F30" s="221">
        <f>'[10]CB Master List - FY18 &amp; CY17'!$AB$136</f>
        <v>185.88031999999998</v>
      </c>
      <c r="G30" s="221">
        <f>'[10]CB Master List - FY18 &amp; CY17'!$AC$136</f>
        <v>264</v>
      </c>
      <c r="H30" s="118">
        <f>'[10]CB Master List - FY18 &amp; CY17'!$AD$136</f>
        <v>4421.3899205774997</v>
      </c>
      <c r="I30" s="133">
        <f>'[10]CB Master List - FY18 &amp; CY17'!$AE$136</f>
        <v>2668.5845053116682</v>
      </c>
      <c r="J30" s="118">
        <f>'[10]CB Master List - FY18 &amp; CY17'!$AF$136</f>
        <v>318.40177785000003</v>
      </c>
      <c r="K30" s="118">
        <f t="shared" si="1"/>
        <v>6771.5726480391677</v>
      </c>
    </row>
    <row r="31" spans="1:11" ht="18" customHeight="1" x14ac:dyDescent="0.2">
      <c r="A31" s="435" t="s">
        <v>133</v>
      </c>
      <c r="B31" s="456"/>
      <c r="C31" s="457"/>
      <c r="D31" s="458"/>
      <c r="F31" s="221"/>
      <c r="G31" s="221"/>
      <c r="H31" s="118"/>
      <c r="I31" s="133">
        <f t="shared" ref="I31:I34" si="2">H31*F$114</f>
        <v>0</v>
      </c>
      <c r="J31" s="118"/>
      <c r="K31" s="118">
        <f t="shared" si="1"/>
        <v>0</v>
      </c>
    </row>
    <row r="32" spans="1:11" ht="18" customHeight="1" x14ac:dyDescent="0.2">
      <c r="A32" s="435" t="s">
        <v>134</v>
      </c>
      <c r="B32" s="459"/>
      <c r="C32" s="460"/>
      <c r="D32" s="461"/>
      <c r="F32" s="221"/>
      <c r="G32" s="255" t="s">
        <v>85</v>
      </c>
      <c r="H32" s="118"/>
      <c r="I32" s="133">
        <f t="shared" si="2"/>
        <v>0</v>
      </c>
      <c r="J32" s="118"/>
      <c r="K32" s="118">
        <f t="shared" si="1"/>
        <v>0</v>
      </c>
    </row>
    <row r="33" spans="1:11" ht="18" customHeight="1" x14ac:dyDescent="0.2">
      <c r="A33" s="435" t="s">
        <v>135</v>
      </c>
      <c r="B33" s="459"/>
      <c r="C33" s="460"/>
      <c r="D33" s="461"/>
      <c r="F33" s="221"/>
      <c r="G33" s="255" t="s">
        <v>85</v>
      </c>
      <c r="H33" s="118"/>
      <c r="I33" s="133">
        <f t="shared" si="2"/>
        <v>0</v>
      </c>
      <c r="J33" s="118"/>
      <c r="K33" s="118">
        <f t="shared" si="1"/>
        <v>0</v>
      </c>
    </row>
    <row r="34" spans="1:11" ht="18" customHeight="1" x14ac:dyDescent="0.2">
      <c r="A34" s="435" t="s">
        <v>136</v>
      </c>
      <c r="B34" s="456"/>
      <c r="C34" s="457"/>
      <c r="D34" s="458"/>
      <c r="F34" s="221"/>
      <c r="G34" s="255" t="s">
        <v>85</v>
      </c>
      <c r="H34" s="118"/>
      <c r="I34" s="133">
        <f t="shared" si="2"/>
        <v>0</v>
      </c>
      <c r="J34" s="118"/>
      <c r="K34" s="118">
        <f t="shared" si="1"/>
        <v>0</v>
      </c>
    </row>
    <row r="35" spans="1:11" ht="18" customHeight="1" x14ac:dyDescent="0.2">
      <c r="K35" s="406"/>
    </row>
    <row r="36" spans="1:11" ht="18" customHeight="1" x14ac:dyDescent="0.2">
      <c r="A36" s="455" t="s">
        <v>137</v>
      </c>
      <c r="B36" s="421" t="s">
        <v>138</v>
      </c>
      <c r="E36" s="421" t="s">
        <v>7</v>
      </c>
      <c r="F36" s="221">
        <f t="shared" ref="F36:K36" si="3">SUM(F21:F34)</f>
        <v>9306.5769464102013</v>
      </c>
      <c r="G36" s="221">
        <f t="shared" si="3"/>
        <v>4499.3030942666583</v>
      </c>
      <c r="H36" s="221">
        <f t="shared" si="3"/>
        <v>3271615.7010232825</v>
      </c>
      <c r="I36" s="118">
        <f t="shared" si="3"/>
        <v>1937521.4641206113</v>
      </c>
      <c r="J36" s="118">
        <f t="shared" si="3"/>
        <v>62723.595264019998</v>
      </c>
      <c r="K36" s="118">
        <f t="shared" si="3"/>
        <v>5146413.5698798737</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f>'[10]CB Master List - FY18 &amp; CY17'!$AB$156</f>
        <v>16536</v>
      </c>
      <c r="G40" s="221">
        <f>'[10]CB Master List - FY18 &amp; CY17'!$AC$156</f>
        <v>4907</v>
      </c>
      <c r="H40" s="118">
        <f>'[10]CB Master List - FY18 &amp; CY17'!$AD$156</f>
        <v>791491.245</v>
      </c>
      <c r="I40" s="133">
        <v>0</v>
      </c>
      <c r="J40" s="118">
        <f>'[10]CB Master List - FY18 &amp; CY17'!$AF$156</f>
        <v>50266.67</v>
      </c>
      <c r="K40" s="118">
        <f t="shared" ref="K40:K47" si="4">(H40+I40)-J40</f>
        <v>741224.57499999995</v>
      </c>
    </row>
    <row r="41" spans="1:11" ht="18" customHeight="1" x14ac:dyDescent="0.2">
      <c r="A41" s="435" t="s">
        <v>88</v>
      </c>
      <c r="B41" s="465" t="s">
        <v>50</v>
      </c>
      <c r="C41" s="466"/>
      <c r="F41" s="221">
        <f>'[10]CB Master List - FY18 &amp; CY17'!$AB$166</f>
        <v>4470</v>
      </c>
      <c r="G41" s="221">
        <f>'[10]CB Master List - FY18 &amp; CY17'!$AC$166</f>
        <v>2282.625</v>
      </c>
      <c r="H41" s="118">
        <f>'[10]CB Master List - FY18 &amp; CY17'!$AD$166</f>
        <v>189300</v>
      </c>
      <c r="I41" s="133">
        <v>0</v>
      </c>
      <c r="J41" s="118"/>
      <c r="K41" s="118">
        <f t="shared" si="4"/>
        <v>189300</v>
      </c>
    </row>
    <row r="42" spans="1:11" ht="18" customHeight="1" x14ac:dyDescent="0.2">
      <c r="A42" s="435" t="s">
        <v>89</v>
      </c>
      <c r="B42" s="419" t="s">
        <v>11</v>
      </c>
      <c r="F42" s="221">
        <f>'[10]CB Master List - FY18 &amp; CY17'!$AB$192</f>
        <v>7034.3554549999999</v>
      </c>
      <c r="G42" s="221">
        <f>'[10]CB Master List - FY18 &amp; CY17'!$AC$192</f>
        <v>1025.11375</v>
      </c>
      <c r="H42" s="118">
        <f>'[10]CB Master List - FY18 &amp; CY17'!$AD$192</f>
        <v>309755.21009937004</v>
      </c>
      <c r="I42" s="133">
        <v>0</v>
      </c>
      <c r="J42" s="118">
        <f>'[10]CB Master List - FY18 &amp; CY17'!$AF$192</f>
        <v>8573.1358127999993</v>
      </c>
      <c r="K42" s="118">
        <f t="shared" si="4"/>
        <v>301182.07428657007</v>
      </c>
    </row>
    <row r="43" spans="1:11" ht="18" customHeight="1" x14ac:dyDescent="0.2">
      <c r="A43" s="435" t="s">
        <v>90</v>
      </c>
      <c r="B43" s="467" t="s">
        <v>10</v>
      </c>
      <c r="C43" s="468"/>
      <c r="D43" s="468"/>
      <c r="F43" s="221"/>
      <c r="G43" s="221"/>
      <c r="H43" s="118"/>
      <c r="I43" s="133">
        <v>0</v>
      </c>
      <c r="J43" s="118"/>
      <c r="K43" s="118">
        <f t="shared" si="4"/>
        <v>0</v>
      </c>
    </row>
    <row r="44" spans="1:11" ht="18" customHeight="1" x14ac:dyDescent="0.2">
      <c r="A44" s="435" t="s">
        <v>91</v>
      </c>
      <c r="B44" s="456"/>
      <c r="C44" s="457"/>
      <c r="D44" s="458"/>
      <c r="F44" s="407"/>
      <c r="G44" s="407"/>
      <c r="H44" s="407"/>
      <c r="I44" s="408">
        <v>0</v>
      </c>
      <c r="J44" s="407"/>
      <c r="K44" s="134">
        <f t="shared" si="4"/>
        <v>0</v>
      </c>
    </row>
    <row r="45" spans="1:11" ht="18" customHeight="1" x14ac:dyDescent="0.2">
      <c r="A45" s="435" t="s">
        <v>139</v>
      </c>
      <c r="B45" s="456"/>
      <c r="C45" s="457"/>
      <c r="D45" s="458"/>
      <c r="F45" s="221"/>
      <c r="G45" s="221"/>
      <c r="H45" s="118"/>
      <c r="I45" s="133">
        <v>0</v>
      </c>
      <c r="J45" s="118"/>
      <c r="K45" s="118">
        <f t="shared" si="4"/>
        <v>0</v>
      </c>
    </row>
    <row r="46" spans="1:11" ht="18" customHeight="1" x14ac:dyDescent="0.2">
      <c r="A46" s="435" t="s">
        <v>140</v>
      </c>
      <c r="B46" s="456"/>
      <c r="C46" s="457"/>
      <c r="D46" s="458"/>
      <c r="F46" s="221"/>
      <c r="G46" s="221"/>
      <c r="H46" s="118"/>
      <c r="I46" s="133">
        <v>0</v>
      </c>
      <c r="J46" s="118"/>
      <c r="K46" s="118">
        <f t="shared" si="4"/>
        <v>0</v>
      </c>
    </row>
    <row r="47" spans="1:11" ht="18" customHeight="1" x14ac:dyDescent="0.2">
      <c r="A47" s="435" t="s">
        <v>141</v>
      </c>
      <c r="B47" s="456"/>
      <c r="C47" s="457"/>
      <c r="D47" s="458"/>
      <c r="F47" s="221"/>
      <c r="G47" s="221"/>
      <c r="H47" s="118"/>
      <c r="I47" s="133">
        <v>0</v>
      </c>
      <c r="J47" s="118"/>
      <c r="K47" s="118">
        <f t="shared" si="4"/>
        <v>0</v>
      </c>
    </row>
    <row r="49" spans="1:11" ht="18" customHeight="1" x14ac:dyDescent="0.2">
      <c r="A49" s="455" t="s">
        <v>142</v>
      </c>
      <c r="B49" s="421" t="s">
        <v>143</v>
      </c>
      <c r="E49" s="421" t="s">
        <v>7</v>
      </c>
      <c r="F49" s="409">
        <f t="shared" ref="F49:K49" si="5">SUM(F40:F47)</f>
        <v>28040.355455000001</v>
      </c>
      <c r="G49" s="409">
        <f t="shared" si="5"/>
        <v>8214.7387500000004</v>
      </c>
      <c r="H49" s="118">
        <f t="shared" si="5"/>
        <v>1290546.4550993701</v>
      </c>
      <c r="I49" s="118">
        <f t="shared" si="5"/>
        <v>0</v>
      </c>
      <c r="J49" s="118">
        <f t="shared" si="5"/>
        <v>58839.805812799998</v>
      </c>
      <c r="K49" s="118">
        <f t="shared" si="5"/>
        <v>1231706.64928657</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10" t="s">
        <v>187</v>
      </c>
      <c r="C53" s="411"/>
      <c r="D53" s="412"/>
      <c r="F53" s="221"/>
      <c r="G53" s="221"/>
      <c r="H53" s="118"/>
      <c r="I53" s="133">
        <v>0</v>
      </c>
      <c r="J53" s="118"/>
      <c r="K53" s="118">
        <f t="shared" ref="K53:K62" si="6">(H53+I53)-J53</f>
        <v>0</v>
      </c>
    </row>
    <row r="54" spans="1:11" ht="18" customHeight="1" x14ac:dyDescent="0.2">
      <c r="A54" s="435" t="s">
        <v>93</v>
      </c>
      <c r="B54" s="420" t="s">
        <v>188</v>
      </c>
      <c r="C54" s="414"/>
      <c r="D54" s="415"/>
      <c r="F54" s="221">
        <f>'[10]CB Master List - FY18 &amp; CY17'!$AB$223</f>
        <v>45706.82</v>
      </c>
      <c r="G54" s="221"/>
      <c r="H54" s="118">
        <f>'[10]CB Master List - FY18 &amp; CY17'!$AD$223</f>
        <v>8003473.4899999993</v>
      </c>
      <c r="I54" s="133">
        <v>0</v>
      </c>
      <c r="J54" s="118"/>
      <c r="K54" s="118">
        <f t="shared" si="6"/>
        <v>8003473.4899999993</v>
      </c>
    </row>
    <row r="55" spans="1:11" ht="18" customHeight="1" x14ac:dyDescent="0.2">
      <c r="A55" s="435" t="s">
        <v>94</v>
      </c>
      <c r="B55" s="410" t="s">
        <v>189</v>
      </c>
      <c r="C55" s="411"/>
      <c r="D55" s="412"/>
      <c r="F55" s="221">
        <f>'[10]CB Master List - FY18 &amp; CY17'!$AB$233</f>
        <v>70720</v>
      </c>
      <c r="G55" s="221"/>
      <c r="H55" s="118">
        <f>'[10]CB Master List - FY18 &amp; CY17'!$AD$233</f>
        <v>1592450.04</v>
      </c>
      <c r="I55" s="133">
        <v>0</v>
      </c>
      <c r="J55" s="118"/>
      <c r="K55" s="118">
        <f t="shared" si="6"/>
        <v>1592450.04</v>
      </c>
    </row>
    <row r="56" spans="1:11" ht="18" customHeight="1" x14ac:dyDescent="0.2">
      <c r="A56" s="435" t="s">
        <v>95</v>
      </c>
      <c r="B56" s="410" t="s">
        <v>190</v>
      </c>
      <c r="C56" s="411"/>
      <c r="D56" s="412"/>
      <c r="F56" s="221"/>
      <c r="G56" s="221"/>
      <c r="H56" s="118"/>
      <c r="I56" s="133">
        <v>0</v>
      </c>
      <c r="J56" s="118"/>
      <c r="K56" s="118">
        <f t="shared" si="6"/>
        <v>0</v>
      </c>
    </row>
    <row r="57" spans="1:11" ht="18" customHeight="1" x14ac:dyDescent="0.2">
      <c r="A57" s="435" t="s">
        <v>96</v>
      </c>
      <c r="B57" s="410" t="s">
        <v>191</v>
      </c>
      <c r="C57" s="411"/>
      <c r="D57" s="412"/>
      <c r="F57" s="221"/>
      <c r="G57" s="221"/>
      <c r="H57" s="118">
        <f>'[10]CB Master List - FY18 &amp; CY17'!$AD$247</f>
        <v>8724900.3682906907</v>
      </c>
      <c r="I57" s="133">
        <v>0</v>
      </c>
      <c r="J57" s="118"/>
      <c r="K57" s="118">
        <f t="shared" si="6"/>
        <v>8724900.3682906907</v>
      </c>
    </row>
    <row r="58" spans="1:11" ht="18" customHeight="1" x14ac:dyDescent="0.2">
      <c r="A58" s="435" t="s">
        <v>97</v>
      </c>
      <c r="B58" s="491"/>
      <c r="C58" s="411"/>
      <c r="D58" s="412"/>
      <c r="F58" s="221"/>
      <c r="G58" s="221"/>
      <c r="H58" s="118"/>
      <c r="I58" s="133">
        <v>0</v>
      </c>
      <c r="J58" s="118"/>
      <c r="K58" s="118">
        <f t="shared" si="6"/>
        <v>0</v>
      </c>
    </row>
    <row r="59" spans="1:11" ht="18" customHeight="1" x14ac:dyDescent="0.2">
      <c r="A59" s="435" t="s">
        <v>98</v>
      </c>
      <c r="B59" s="491"/>
      <c r="C59" s="411"/>
      <c r="D59" s="412"/>
      <c r="F59" s="221"/>
      <c r="G59" s="221"/>
      <c r="H59" s="118"/>
      <c r="I59" s="133">
        <v>0</v>
      </c>
      <c r="J59" s="118"/>
      <c r="K59" s="118">
        <f t="shared" si="6"/>
        <v>0</v>
      </c>
    </row>
    <row r="60" spans="1:11" ht="18" customHeight="1" x14ac:dyDescent="0.2">
      <c r="A60" s="435" t="s">
        <v>99</v>
      </c>
      <c r="B60" s="491"/>
      <c r="C60" s="411"/>
      <c r="D60" s="412"/>
      <c r="F60" s="221"/>
      <c r="G60" s="221"/>
      <c r="H60" s="118"/>
      <c r="I60" s="133">
        <v>0</v>
      </c>
      <c r="J60" s="118"/>
      <c r="K60" s="118">
        <f t="shared" si="6"/>
        <v>0</v>
      </c>
    </row>
    <row r="61" spans="1:11" ht="18" customHeight="1" x14ac:dyDescent="0.2">
      <c r="A61" s="435" t="s">
        <v>100</v>
      </c>
      <c r="B61" s="491"/>
      <c r="C61" s="411"/>
      <c r="D61" s="412"/>
      <c r="F61" s="221"/>
      <c r="G61" s="221"/>
      <c r="H61" s="118"/>
      <c r="I61" s="133">
        <v>0</v>
      </c>
      <c r="J61" s="118"/>
      <c r="K61" s="118">
        <f t="shared" si="6"/>
        <v>0</v>
      </c>
    </row>
    <row r="62" spans="1:11" ht="18" customHeight="1" x14ac:dyDescent="0.2">
      <c r="A62" s="435" t="s">
        <v>101</v>
      </c>
      <c r="B62" s="418"/>
      <c r="C62" s="417"/>
      <c r="D62" s="412"/>
      <c r="F62" s="221"/>
      <c r="G62" s="221"/>
      <c r="H62" s="118"/>
      <c r="I62" s="133">
        <v>0</v>
      </c>
      <c r="J62" s="118"/>
      <c r="K62" s="118">
        <f t="shared" si="6"/>
        <v>0</v>
      </c>
    </row>
    <row r="63" spans="1:11" ht="18" customHeight="1" x14ac:dyDescent="0.2">
      <c r="A63" s="435"/>
      <c r="I63" s="129"/>
    </row>
    <row r="64" spans="1:11" ht="18" customHeight="1" x14ac:dyDescent="0.2">
      <c r="A64" s="435" t="s">
        <v>144</v>
      </c>
      <c r="B64" s="421" t="s">
        <v>145</v>
      </c>
      <c r="E64" s="421" t="s">
        <v>7</v>
      </c>
      <c r="F64" s="221">
        <f t="shared" ref="F64:K64" si="7">SUM(F53:F62)</f>
        <v>116426.82</v>
      </c>
      <c r="G64" s="221">
        <f t="shared" si="7"/>
        <v>0</v>
      </c>
      <c r="H64" s="118">
        <f t="shared" si="7"/>
        <v>18320823.89829069</v>
      </c>
      <c r="I64" s="118">
        <f t="shared" si="7"/>
        <v>0</v>
      </c>
      <c r="J64" s="118">
        <f t="shared" si="7"/>
        <v>0</v>
      </c>
      <c r="K64" s="118">
        <f t="shared" si="7"/>
        <v>18320823.89829069</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f>'[10]CB Master List - FY18 &amp; CY17'!$AB$265</f>
        <v>14358</v>
      </c>
      <c r="G68" s="122"/>
      <c r="H68" s="122">
        <f>'[10]CB Master List - FY18 &amp; CY17'!$AD$265</f>
        <v>882478.17999999993</v>
      </c>
      <c r="I68" s="133">
        <v>0</v>
      </c>
      <c r="J68" s="122">
        <f>'[10]CB Master List - FY18 &amp; CY17'!$AF$265</f>
        <v>156083.93</v>
      </c>
      <c r="K68" s="118">
        <f>(H68+I68)-J68</f>
        <v>726394.25</v>
      </c>
    </row>
    <row r="69" spans="1:11" ht="18" customHeight="1" x14ac:dyDescent="0.2">
      <c r="A69" s="435" t="s">
        <v>104</v>
      </c>
      <c r="B69" s="419" t="s">
        <v>53</v>
      </c>
      <c r="F69" s="122"/>
      <c r="G69" s="122"/>
      <c r="H69" s="122">
        <f>'[10]CB Master List - FY18 &amp; CY17'!$AD$274</f>
        <v>31918.860000000008</v>
      </c>
      <c r="I69" s="133">
        <v>0</v>
      </c>
      <c r="J69" s="122"/>
      <c r="K69" s="118">
        <f>(H69+I69)-J69</f>
        <v>31918.860000000008</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8">SUM(F68:F72)</f>
        <v>14358</v>
      </c>
      <c r="G74" s="122">
        <f t="shared" si="8"/>
        <v>0</v>
      </c>
      <c r="H74" s="122">
        <f t="shared" si="8"/>
        <v>914397.03999999992</v>
      </c>
      <c r="I74" s="133">
        <f t="shared" si="8"/>
        <v>0</v>
      </c>
      <c r="J74" s="122">
        <f t="shared" si="8"/>
        <v>156083.93</v>
      </c>
      <c r="K74" s="118">
        <f t="shared" si="8"/>
        <v>758313.11</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f>'[10]CB Master List - FY18 &amp; CY17'!$AD$296</f>
        <v>634529.59025999997</v>
      </c>
      <c r="I77" s="133">
        <v>0</v>
      </c>
      <c r="J77" s="118"/>
      <c r="K77" s="118">
        <f>(H77+I77)-J77</f>
        <v>634529.59025999997</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f>'[10]CB Master List - FY18 &amp; CY17'!$AB$311</f>
        <v>49.032144993450636</v>
      </c>
      <c r="G79" s="221">
        <f>'[10]CB Master List - FY18 &amp; CY17'!$AC$311</f>
        <v>40</v>
      </c>
      <c r="H79" s="118">
        <f>'[10]CB Master List - FY18 &amp; CY17'!$AD$311</f>
        <v>60858.200000000004</v>
      </c>
      <c r="I79" s="133">
        <v>0</v>
      </c>
      <c r="J79" s="118"/>
      <c r="K79" s="118">
        <f>(H79+I79)-J79</f>
        <v>60858.200000000004</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9">SUM(F77:F80)</f>
        <v>49.032144993450636</v>
      </c>
      <c r="G82" s="122">
        <f t="shared" si="9"/>
        <v>40</v>
      </c>
      <c r="H82" s="118">
        <f t="shared" si="9"/>
        <v>695387.79025999992</v>
      </c>
      <c r="I82" s="118">
        <f t="shared" si="9"/>
        <v>0</v>
      </c>
      <c r="J82" s="118">
        <f t="shared" si="9"/>
        <v>0</v>
      </c>
      <c r="K82" s="118">
        <f t="shared" si="9"/>
        <v>695387.79025999992</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f>'[10]CB Master List - FY18 &amp; CY17'!$AD$336</f>
        <v>21316.169580760645</v>
      </c>
      <c r="I86" s="133">
        <f t="shared" ref="I86:I96" si="10">H86*F$114</f>
        <v>12865.637475462439</v>
      </c>
      <c r="J86" s="118"/>
      <c r="K86" s="118">
        <f t="shared" ref="K86:K96" si="11">(H86+I86)-J86</f>
        <v>34181.807056223086</v>
      </c>
    </row>
    <row r="87" spans="1:11" ht="18" customHeight="1" x14ac:dyDescent="0.2">
      <c r="A87" s="435" t="s">
        <v>114</v>
      </c>
      <c r="B87" s="419" t="s">
        <v>14</v>
      </c>
      <c r="F87" s="221"/>
      <c r="G87" s="221"/>
      <c r="H87" s="118"/>
      <c r="I87" s="133">
        <f t="shared" si="10"/>
        <v>0</v>
      </c>
      <c r="J87" s="118"/>
      <c r="K87" s="118">
        <f t="shared" si="11"/>
        <v>0</v>
      </c>
    </row>
    <row r="88" spans="1:11" ht="18" customHeight="1" x14ac:dyDescent="0.2">
      <c r="A88" s="435" t="s">
        <v>115</v>
      </c>
      <c r="B88" s="419" t="s">
        <v>116</v>
      </c>
      <c r="F88" s="221">
        <f>'[10]CB Master List - FY18 &amp; CY17'!$AB$354</f>
        <v>383.6</v>
      </c>
      <c r="G88" s="221"/>
      <c r="H88" s="118">
        <f>'[10]CB Master List - FY18 &amp; CY17'!$AD$354</f>
        <v>17968.8</v>
      </c>
      <c r="I88" s="133">
        <f t="shared" si="10"/>
        <v>10845.291213940514</v>
      </c>
      <c r="J88" s="118"/>
      <c r="K88" s="118">
        <f t="shared" si="11"/>
        <v>28814.091213940512</v>
      </c>
    </row>
    <row r="89" spans="1:11" ht="18" customHeight="1" x14ac:dyDescent="0.2">
      <c r="A89" s="435" t="s">
        <v>117</v>
      </c>
      <c r="B89" s="419" t="s">
        <v>58</v>
      </c>
      <c r="F89" s="221"/>
      <c r="G89" s="221"/>
      <c r="H89" s="118"/>
      <c r="I89" s="133">
        <f t="shared" si="10"/>
        <v>0</v>
      </c>
      <c r="J89" s="118"/>
      <c r="K89" s="118">
        <f t="shared" si="11"/>
        <v>0</v>
      </c>
    </row>
    <row r="90" spans="1:11" ht="18" customHeight="1" x14ac:dyDescent="0.2">
      <c r="A90" s="435" t="s">
        <v>118</v>
      </c>
      <c r="B90" s="465" t="s">
        <v>59</v>
      </c>
      <c r="C90" s="466"/>
      <c r="F90" s="221"/>
      <c r="G90" s="221"/>
      <c r="H90" s="118"/>
      <c r="I90" s="133">
        <f t="shared" si="10"/>
        <v>0</v>
      </c>
      <c r="J90" s="118"/>
      <c r="K90" s="118">
        <f t="shared" si="11"/>
        <v>0</v>
      </c>
    </row>
    <row r="91" spans="1:11" ht="18" customHeight="1" x14ac:dyDescent="0.2">
      <c r="A91" s="435" t="s">
        <v>119</v>
      </c>
      <c r="B91" s="419" t="s">
        <v>60</v>
      </c>
      <c r="F91" s="221">
        <f>'[10]CB Master List - FY18 &amp; CY17'!$AB$379</f>
        <v>678.18550799999991</v>
      </c>
      <c r="G91" s="221"/>
      <c r="H91" s="118">
        <f>'[10]CB Master List - FY18 &amp; CY17'!$AD$379</f>
        <v>45196.403640959994</v>
      </c>
      <c r="I91" s="133">
        <f t="shared" si="10"/>
        <v>27278.847742142629</v>
      </c>
      <c r="J91" s="118"/>
      <c r="K91" s="118">
        <f t="shared" si="11"/>
        <v>72475.251383102615</v>
      </c>
    </row>
    <row r="92" spans="1:11" ht="18" customHeight="1" x14ac:dyDescent="0.2">
      <c r="A92" s="435" t="s">
        <v>120</v>
      </c>
      <c r="B92" s="419" t="s">
        <v>121</v>
      </c>
      <c r="F92" s="257">
        <f>'[10]CB Master List - FY18 &amp; CY17'!$AB$391</f>
        <v>161.55730338761038</v>
      </c>
      <c r="G92" s="257"/>
      <c r="H92" s="429">
        <f>'[10]CB Master List - FY18 &amp; CY17'!$AD$391</f>
        <v>448006.89967799996</v>
      </c>
      <c r="I92" s="133">
        <f t="shared" si="10"/>
        <v>270400.09866337996</v>
      </c>
      <c r="J92" s="429"/>
      <c r="K92" s="118">
        <f t="shared" si="11"/>
        <v>718406.99834137992</v>
      </c>
    </row>
    <row r="93" spans="1:11" ht="18" customHeight="1" x14ac:dyDescent="0.2">
      <c r="A93" s="435" t="s">
        <v>122</v>
      </c>
      <c r="B93" s="419" t="s">
        <v>123</v>
      </c>
      <c r="F93" s="221">
        <f>'[10]CB Master List - FY18 &amp; CY17'!$AB$399</f>
        <v>570</v>
      </c>
      <c r="G93" s="221">
        <f>'[10]CB Master List - FY18 &amp; CY17'!$AC$399</f>
        <v>142.5</v>
      </c>
      <c r="H93" s="118">
        <f>'[10]CB Master List - FY18 &amp; CY17'!$AD$399</f>
        <v>23940</v>
      </c>
      <c r="I93" s="133">
        <f t="shared" si="10"/>
        <v>14449.282737953336</v>
      </c>
      <c r="J93" s="118"/>
      <c r="K93" s="118">
        <f t="shared" si="11"/>
        <v>38389.282737953334</v>
      </c>
    </row>
    <row r="94" spans="1:11" ht="18" customHeight="1" x14ac:dyDescent="0.2">
      <c r="A94" s="435" t="s">
        <v>124</v>
      </c>
      <c r="B94" s="418"/>
      <c r="C94" s="417"/>
      <c r="D94" s="412"/>
      <c r="F94" s="221"/>
      <c r="G94" s="221"/>
      <c r="H94" s="118"/>
      <c r="I94" s="133">
        <f t="shared" si="10"/>
        <v>0</v>
      </c>
      <c r="J94" s="118"/>
      <c r="K94" s="118">
        <f t="shared" si="11"/>
        <v>0</v>
      </c>
    </row>
    <row r="95" spans="1:11" ht="18" customHeight="1" x14ac:dyDescent="0.2">
      <c r="A95" s="435" t="s">
        <v>125</v>
      </c>
      <c r="B95" s="418"/>
      <c r="C95" s="417"/>
      <c r="D95" s="412"/>
      <c r="F95" s="221"/>
      <c r="G95" s="221"/>
      <c r="H95" s="118"/>
      <c r="I95" s="133">
        <f t="shared" si="10"/>
        <v>0</v>
      </c>
      <c r="J95" s="118"/>
      <c r="K95" s="118">
        <f t="shared" si="11"/>
        <v>0</v>
      </c>
    </row>
    <row r="96" spans="1:11" ht="18" customHeight="1" x14ac:dyDescent="0.2">
      <c r="A96" s="435" t="s">
        <v>126</v>
      </c>
      <c r="B96" s="418"/>
      <c r="C96" s="417"/>
      <c r="D96" s="412"/>
      <c r="F96" s="221"/>
      <c r="G96" s="221"/>
      <c r="H96" s="118"/>
      <c r="I96" s="133">
        <f t="shared" si="10"/>
        <v>0</v>
      </c>
      <c r="J96" s="118"/>
      <c r="K96" s="118">
        <f t="shared" si="11"/>
        <v>0</v>
      </c>
    </row>
    <row r="97" spans="1:11" ht="18" customHeight="1" x14ac:dyDescent="0.2">
      <c r="A97" s="435"/>
      <c r="B97" s="419"/>
    </row>
    <row r="98" spans="1:11" ht="18" customHeight="1" x14ac:dyDescent="0.2">
      <c r="A98" s="455" t="s">
        <v>150</v>
      </c>
      <c r="B98" s="421" t="s">
        <v>151</v>
      </c>
      <c r="E98" s="421" t="s">
        <v>7</v>
      </c>
      <c r="F98" s="221">
        <f t="shared" ref="F98:K98" si="12">SUM(F86:F96)</f>
        <v>1793.3428113876103</v>
      </c>
      <c r="G98" s="221">
        <f t="shared" si="12"/>
        <v>142.5</v>
      </c>
      <c r="H98" s="221">
        <f t="shared" si="12"/>
        <v>556428.27289972058</v>
      </c>
      <c r="I98" s="221">
        <f t="shared" si="12"/>
        <v>335839.15783287887</v>
      </c>
      <c r="J98" s="221">
        <f t="shared" si="12"/>
        <v>0</v>
      </c>
      <c r="K98" s="221">
        <f t="shared" si="12"/>
        <v>892267.43073259946</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f>'[10]CB Master List - FY18 &amp; CY17'!$AB$425</f>
        <v>4079.6104829999995</v>
      </c>
      <c r="G102" s="221"/>
      <c r="H102" s="118">
        <f>'[10]CB Master List - FY18 &amp; CY17'!$AD$425</f>
        <v>209839.53209902998</v>
      </c>
      <c r="I102" s="133">
        <f>H102*F$114</f>
        <v>126651.24180863488</v>
      </c>
      <c r="J102" s="118"/>
      <c r="K102" s="118">
        <f>(H102+I102)-J102</f>
        <v>336490.77390766487</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6" t="s">
        <v>524</v>
      </c>
      <c r="C104" s="417"/>
      <c r="D104" s="412"/>
      <c r="F104" s="221">
        <f>'[10]CB Master List - FY18 &amp; CY17'!$AB$442</f>
        <v>1834.7862</v>
      </c>
      <c r="G104" s="221"/>
      <c r="H104" s="118">
        <f>'[10]CB Master List - FY18 &amp; CY17'!$AD$442</f>
        <v>88632.073966800002</v>
      </c>
      <c r="I104" s="133">
        <f>H104*F$114</f>
        <v>53494.983141081306</v>
      </c>
      <c r="J104" s="118"/>
      <c r="K104" s="118">
        <f>(H104+I104)-J104</f>
        <v>142127.05710788129</v>
      </c>
    </row>
    <row r="105" spans="1:11" ht="18" customHeight="1" x14ac:dyDescent="0.2">
      <c r="A105" s="435" t="s">
        <v>127</v>
      </c>
      <c r="B105" s="416" t="s">
        <v>616</v>
      </c>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3">SUM(F102:F106)</f>
        <v>5914.396682999999</v>
      </c>
      <c r="G108" s="221">
        <f t="shared" si="13"/>
        <v>0</v>
      </c>
      <c r="H108" s="118">
        <f t="shared" si="13"/>
        <v>298471.60606582998</v>
      </c>
      <c r="I108" s="118">
        <f t="shared" si="13"/>
        <v>180146.22494971618</v>
      </c>
      <c r="J108" s="118">
        <f t="shared" si="13"/>
        <v>0</v>
      </c>
      <c r="K108" s="118">
        <f t="shared" si="13"/>
        <v>478617.83101554617</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f>'[10]CB Master List - FY18 &amp; CY17'!$AG$458</f>
        <v>6640536.8860000018</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f>'[10]CB Master List - FY18 &amp; CY17'!$AG$467</f>
        <v>0.60356235329796726</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f>'[11]Consolidating P&amp;L'!$U$68-1168132</f>
        <v>247978655</v>
      </c>
    </row>
    <row r="118" spans="1:6" ht="18" customHeight="1" x14ac:dyDescent="0.2">
      <c r="A118" s="435" t="s">
        <v>173</v>
      </c>
      <c r="B118" s="259" t="s">
        <v>18</v>
      </c>
      <c r="F118" s="118">
        <f>'[11]Consolidating P&amp;L'!$U$116</f>
        <v>3755767</v>
      </c>
    </row>
    <row r="119" spans="1:6" ht="18" customHeight="1" x14ac:dyDescent="0.2">
      <c r="A119" s="435" t="s">
        <v>174</v>
      </c>
      <c r="B119" s="421" t="s">
        <v>19</v>
      </c>
      <c r="F119" s="118">
        <f>SUM(F117:F118)</f>
        <v>251734422</v>
      </c>
    </row>
    <row r="120" spans="1:6" ht="18" customHeight="1" x14ac:dyDescent="0.2">
      <c r="A120" s="435"/>
      <c r="B120" s="421"/>
    </row>
    <row r="121" spans="1:6" ht="18" customHeight="1" x14ac:dyDescent="0.2">
      <c r="A121" s="435" t="s">
        <v>167</v>
      </c>
      <c r="B121" s="421" t="s">
        <v>36</v>
      </c>
      <c r="F121" s="118">
        <f>'[11]Consolidating P&amp;L'!$U$471-1168132</f>
        <v>243708768</v>
      </c>
    </row>
    <row r="122" spans="1:6" ht="18" customHeight="1" x14ac:dyDescent="0.2">
      <c r="A122" s="435"/>
    </row>
    <row r="123" spans="1:6" ht="18" customHeight="1" x14ac:dyDescent="0.2">
      <c r="A123" s="435" t="s">
        <v>175</v>
      </c>
      <c r="B123" s="421" t="s">
        <v>20</v>
      </c>
      <c r="F123" s="118">
        <f>+F119-F121</f>
        <v>8025654</v>
      </c>
    </row>
    <row r="124" spans="1:6" ht="18" customHeight="1" x14ac:dyDescent="0.2">
      <c r="A124" s="435"/>
    </row>
    <row r="125" spans="1:6" ht="18" customHeight="1" x14ac:dyDescent="0.2">
      <c r="A125" s="435" t="s">
        <v>176</v>
      </c>
      <c r="B125" s="421" t="s">
        <v>21</v>
      </c>
      <c r="F125" s="118">
        <f>'[11]Consolidating P&amp;L'!$U$491</f>
        <v>-2205496</v>
      </c>
    </row>
    <row r="126" spans="1:6" ht="18" customHeight="1" x14ac:dyDescent="0.2">
      <c r="A126" s="435"/>
    </row>
    <row r="127" spans="1:6" ht="18" customHeight="1" x14ac:dyDescent="0.2">
      <c r="A127" s="435" t="s">
        <v>177</v>
      </c>
      <c r="B127" s="421" t="s">
        <v>22</v>
      </c>
      <c r="F127" s="118">
        <f>+F123+F125</f>
        <v>5820158</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4">SUM(F131:F135)</f>
        <v>0</v>
      </c>
      <c r="G137" s="221">
        <f t="shared" si="14"/>
        <v>0</v>
      </c>
      <c r="H137" s="118">
        <f t="shared" si="14"/>
        <v>0</v>
      </c>
      <c r="I137" s="118">
        <f t="shared" si="14"/>
        <v>0</v>
      </c>
      <c r="J137" s="118">
        <f t="shared" si="14"/>
        <v>0</v>
      </c>
      <c r="K137" s="118">
        <f t="shared" si="14"/>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5">F36</f>
        <v>9306.5769464102013</v>
      </c>
      <c r="G141" s="422">
        <f t="shared" si="15"/>
        <v>4499.3030942666583</v>
      </c>
      <c r="H141" s="422">
        <f t="shared" si="15"/>
        <v>3271615.7010232825</v>
      </c>
      <c r="I141" s="422">
        <f t="shared" si="15"/>
        <v>1937521.4641206113</v>
      </c>
      <c r="J141" s="422">
        <f t="shared" si="15"/>
        <v>62723.595264019998</v>
      </c>
      <c r="K141" s="422">
        <f t="shared" si="15"/>
        <v>5146413.5698798737</v>
      </c>
    </row>
    <row r="142" spans="1:11" ht="18" customHeight="1" x14ac:dyDescent="0.2">
      <c r="A142" s="435" t="s">
        <v>142</v>
      </c>
      <c r="B142" s="421" t="s">
        <v>65</v>
      </c>
      <c r="F142" s="422">
        <f t="shared" ref="F142:K142" si="16">F49</f>
        <v>28040.355455000001</v>
      </c>
      <c r="G142" s="422">
        <f t="shared" si="16"/>
        <v>8214.7387500000004</v>
      </c>
      <c r="H142" s="422">
        <f t="shared" si="16"/>
        <v>1290546.4550993701</v>
      </c>
      <c r="I142" s="422">
        <f t="shared" si="16"/>
        <v>0</v>
      </c>
      <c r="J142" s="422">
        <f t="shared" si="16"/>
        <v>58839.805812799998</v>
      </c>
      <c r="K142" s="422">
        <f t="shared" si="16"/>
        <v>1231706.64928657</v>
      </c>
    </row>
    <row r="143" spans="1:11" ht="18" customHeight="1" x14ac:dyDescent="0.2">
      <c r="A143" s="435" t="s">
        <v>144</v>
      </c>
      <c r="B143" s="421" t="s">
        <v>66</v>
      </c>
      <c r="F143" s="422">
        <f t="shared" ref="F143:K143" si="17">F64</f>
        <v>116426.82</v>
      </c>
      <c r="G143" s="422">
        <f t="shared" si="17"/>
        <v>0</v>
      </c>
      <c r="H143" s="422">
        <f t="shared" si="17"/>
        <v>18320823.89829069</v>
      </c>
      <c r="I143" s="422">
        <f t="shared" si="17"/>
        <v>0</v>
      </c>
      <c r="J143" s="422">
        <f t="shared" si="17"/>
        <v>0</v>
      </c>
      <c r="K143" s="422">
        <f t="shared" si="17"/>
        <v>18320823.89829069</v>
      </c>
    </row>
    <row r="144" spans="1:11" ht="18" customHeight="1" x14ac:dyDescent="0.2">
      <c r="A144" s="435" t="s">
        <v>146</v>
      </c>
      <c r="B144" s="421" t="s">
        <v>67</v>
      </c>
      <c r="F144" s="422">
        <f t="shared" ref="F144:K144" si="18">F74</f>
        <v>14358</v>
      </c>
      <c r="G144" s="422">
        <f t="shared" si="18"/>
        <v>0</v>
      </c>
      <c r="H144" s="422">
        <f t="shared" si="18"/>
        <v>914397.03999999992</v>
      </c>
      <c r="I144" s="422">
        <f t="shared" si="18"/>
        <v>0</v>
      </c>
      <c r="J144" s="422">
        <f t="shared" si="18"/>
        <v>156083.93</v>
      </c>
      <c r="K144" s="422">
        <f t="shared" si="18"/>
        <v>758313.11</v>
      </c>
    </row>
    <row r="145" spans="1:11" ht="18" customHeight="1" x14ac:dyDescent="0.2">
      <c r="A145" s="435" t="s">
        <v>148</v>
      </c>
      <c r="B145" s="421" t="s">
        <v>68</v>
      </c>
      <c r="F145" s="422">
        <f t="shared" ref="F145:K145" si="19">F82</f>
        <v>49.032144993450636</v>
      </c>
      <c r="G145" s="422">
        <f t="shared" si="19"/>
        <v>40</v>
      </c>
      <c r="H145" s="422">
        <f t="shared" si="19"/>
        <v>695387.79025999992</v>
      </c>
      <c r="I145" s="422">
        <f t="shared" si="19"/>
        <v>0</v>
      </c>
      <c r="J145" s="422">
        <f t="shared" si="19"/>
        <v>0</v>
      </c>
      <c r="K145" s="422">
        <f t="shared" si="19"/>
        <v>695387.79025999992</v>
      </c>
    </row>
    <row r="146" spans="1:11" ht="18" customHeight="1" x14ac:dyDescent="0.2">
      <c r="A146" s="435" t="s">
        <v>150</v>
      </c>
      <c r="B146" s="421" t="s">
        <v>69</v>
      </c>
      <c r="F146" s="422">
        <f t="shared" ref="F146:K146" si="20">F98</f>
        <v>1793.3428113876103</v>
      </c>
      <c r="G146" s="422">
        <f t="shared" si="20"/>
        <v>142.5</v>
      </c>
      <c r="H146" s="422">
        <f t="shared" si="20"/>
        <v>556428.27289972058</v>
      </c>
      <c r="I146" s="422">
        <f t="shared" si="20"/>
        <v>335839.15783287887</v>
      </c>
      <c r="J146" s="422">
        <f t="shared" si="20"/>
        <v>0</v>
      </c>
      <c r="K146" s="422">
        <f t="shared" si="20"/>
        <v>892267.43073259946</v>
      </c>
    </row>
    <row r="147" spans="1:11" ht="18" customHeight="1" x14ac:dyDescent="0.2">
      <c r="A147" s="435" t="s">
        <v>153</v>
      </c>
      <c r="B147" s="421" t="s">
        <v>61</v>
      </c>
      <c r="F147" s="221">
        <f t="shared" ref="F147:K147" si="21">F108</f>
        <v>5914.396682999999</v>
      </c>
      <c r="G147" s="221">
        <f t="shared" si="21"/>
        <v>0</v>
      </c>
      <c r="H147" s="221">
        <f t="shared" si="21"/>
        <v>298471.60606582998</v>
      </c>
      <c r="I147" s="221">
        <f t="shared" si="21"/>
        <v>180146.22494971618</v>
      </c>
      <c r="J147" s="221">
        <f t="shared" si="21"/>
        <v>0</v>
      </c>
      <c r="K147" s="221">
        <f t="shared" si="21"/>
        <v>478617.83101554617</v>
      </c>
    </row>
    <row r="148" spans="1:11" ht="18" customHeight="1" x14ac:dyDescent="0.2">
      <c r="A148" s="435" t="s">
        <v>155</v>
      </c>
      <c r="B148" s="421" t="s">
        <v>70</v>
      </c>
      <c r="F148" s="485" t="s">
        <v>73</v>
      </c>
      <c r="G148" s="485" t="s">
        <v>73</v>
      </c>
      <c r="H148" s="486" t="s">
        <v>73</v>
      </c>
      <c r="I148" s="486" t="s">
        <v>73</v>
      </c>
      <c r="J148" s="486" t="s">
        <v>73</v>
      </c>
      <c r="K148" s="423">
        <f>F111</f>
        <v>6640536.8860000018</v>
      </c>
    </row>
    <row r="149" spans="1:11" ht="18" customHeight="1" x14ac:dyDescent="0.2">
      <c r="A149" s="435" t="s">
        <v>163</v>
      </c>
      <c r="B149" s="421" t="s">
        <v>71</v>
      </c>
      <c r="F149" s="221">
        <f t="shared" ref="F149:K149" si="22">F137</f>
        <v>0</v>
      </c>
      <c r="G149" s="221">
        <f t="shared" si="22"/>
        <v>0</v>
      </c>
      <c r="H149" s="221">
        <f t="shared" si="22"/>
        <v>0</v>
      </c>
      <c r="I149" s="221">
        <f t="shared" si="22"/>
        <v>0</v>
      </c>
      <c r="J149" s="221">
        <f t="shared" si="22"/>
        <v>0</v>
      </c>
      <c r="K149" s="221">
        <f t="shared" si="22"/>
        <v>0</v>
      </c>
    </row>
    <row r="150" spans="1:11" ht="18" customHeight="1" x14ac:dyDescent="0.2">
      <c r="A150" s="435" t="s">
        <v>185</v>
      </c>
      <c r="B150" s="421" t="s">
        <v>186</v>
      </c>
      <c r="F150" s="485" t="s">
        <v>73</v>
      </c>
      <c r="G150" s="485" t="s">
        <v>73</v>
      </c>
      <c r="H150" s="221">
        <f>H18</f>
        <v>5966592.2999999998</v>
      </c>
      <c r="I150" s="221">
        <f>I18</f>
        <v>0</v>
      </c>
      <c r="J150" s="221">
        <f>J18</f>
        <v>5042947.8899999997</v>
      </c>
      <c r="K150" s="221">
        <f>K18</f>
        <v>923644.41000000015</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3">SUM(F141:F150)</f>
        <v>175888.52404079126</v>
      </c>
      <c r="G152" s="487">
        <f t="shared" si="23"/>
        <v>12896.54184426666</v>
      </c>
      <c r="H152" s="487">
        <f t="shared" si="23"/>
        <v>31314263.063638888</v>
      </c>
      <c r="I152" s="487">
        <f t="shared" si="23"/>
        <v>2453506.8469032063</v>
      </c>
      <c r="J152" s="487">
        <f t="shared" si="23"/>
        <v>5320595.22107682</v>
      </c>
      <c r="K152" s="487">
        <f t="shared" si="23"/>
        <v>35087711.575465277</v>
      </c>
    </row>
    <row r="154" spans="1:11" ht="18" customHeight="1" x14ac:dyDescent="0.2">
      <c r="A154" s="455" t="s">
        <v>168</v>
      </c>
      <c r="B154" s="421" t="s">
        <v>28</v>
      </c>
      <c r="F154" s="140">
        <f>K152/F121</f>
        <v>0.143973940139344</v>
      </c>
    </row>
    <row r="155" spans="1:11" ht="18" customHeight="1" x14ac:dyDescent="0.2">
      <c r="A155" s="455" t="s">
        <v>169</v>
      </c>
      <c r="B155" s="421" t="s">
        <v>72</v>
      </c>
      <c r="F155" s="140">
        <f>K152/F127</f>
        <v>6.0286527574449487</v>
      </c>
      <c r="G155" s="421"/>
    </row>
    <row r="156" spans="1:11" ht="18" customHeight="1" x14ac:dyDescent="0.2">
      <c r="G156" s="421"/>
    </row>
  </sheetData>
  <sheetProtection algorithmName="SHA-512" hashValue="LPy7vux1DXtSwYms71WQ4fKuEpF90Z61LoY+0eHXoAd09YysJNUdLpHIUNmUfF/J85Qleg3MX14+vsSBttHmrA==" saltValue="C6jFWSX26ZtDyEtRtLBr9A==" spinCount="100000" sheet="1" objects="1" scenarios="1"/>
  <mergeCells count="37">
    <mergeCell ref="D2:H2"/>
    <mergeCell ref="B45:D45"/>
    <mergeCell ref="B46:D46"/>
    <mergeCell ref="B47:D47"/>
    <mergeCell ref="B34:D34"/>
    <mergeCell ref="B41:C41"/>
    <mergeCell ref="B44:D44"/>
    <mergeCell ref="B13:H13"/>
    <mergeCell ref="B30:D30"/>
    <mergeCell ref="C5:G5"/>
    <mergeCell ref="C6:G6"/>
    <mergeCell ref="C7:G7"/>
    <mergeCell ref="C11:G11"/>
    <mergeCell ref="C9:G9"/>
    <mergeCell ref="B31:D31"/>
    <mergeCell ref="C10:G1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58:D58"/>
    <mergeCell ref="B60:D60"/>
    <mergeCell ref="B61:D61"/>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56"/>
  <sheetViews>
    <sheetView showGridLines="0" zoomScale="80" zoomScaleNormal="80" zoomScaleSheetLayoutView="80" workbookViewId="0">
      <selection activeCell="F21" sqref="F21"/>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448</v>
      </c>
      <c r="D5" s="437"/>
      <c r="E5" s="437"/>
      <c r="F5" s="437"/>
      <c r="G5" s="438"/>
    </row>
    <row r="6" spans="1:11" ht="18" customHeight="1" x14ac:dyDescent="0.2">
      <c r="B6" s="435" t="s">
        <v>3</v>
      </c>
      <c r="C6" s="439" t="s">
        <v>503</v>
      </c>
      <c r="D6" s="440"/>
      <c r="E6" s="440"/>
      <c r="F6" s="440"/>
      <c r="G6" s="441"/>
    </row>
    <row r="7" spans="1:11" ht="18" customHeight="1" x14ac:dyDescent="0.2">
      <c r="B7" s="435" t="s">
        <v>4</v>
      </c>
      <c r="C7" s="492">
        <v>439</v>
      </c>
      <c r="D7" s="493"/>
      <c r="E7" s="493"/>
      <c r="F7" s="493"/>
      <c r="G7" s="494"/>
    </row>
    <row r="9" spans="1:11" ht="18" customHeight="1" x14ac:dyDescent="0.2">
      <c r="B9" s="435" t="s">
        <v>1</v>
      </c>
      <c r="C9" s="436" t="s">
        <v>645</v>
      </c>
      <c r="D9" s="437"/>
      <c r="E9" s="437"/>
      <c r="F9" s="437"/>
      <c r="G9" s="438"/>
    </row>
    <row r="10" spans="1:11" ht="18" customHeight="1" x14ac:dyDescent="0.2">
      <c r="B10" s="435" t="s">
        <v>2</v>
      </c>
      <c r="C10" s="445" t="s">
        <v>646</v>
      </c>
      <c r="D10" s="446"/>
      <c r="E10" s="446"/>
      <c r="F10" s="446"/>
      <c r="G10" s="447"/>
    </row>
    <row r="11" spans="1:11" ht="18" customHeight="1" x14ac:dyDescent="0.2">
      <c r="B11" s="435" t="s">
        <v>32</v>
      </c>
      <c r="C11" s="495" t="s">
        <v>647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1218348.47</v>
      </c>
      <c r="I18" s="133">
        <v>0</v>
      </c>
      <c r="J18" s="118">
        <v>1029744.9</v>
      </c>
      <c r="K18" s="118">
        <f>(H18+I18)-J18</f>
        <v>188603.56999999995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270.5</v>
      </c>
      <c r="G21" s="221">
        <v>1653</v>
      </c>
      <c r="H21" s="118">
        <v>13637</v>
      </c>
      <c r="I21" s="133">
        <f t="shared" ref="I21:I34" si="0">H21*F$114</f>
        <v>8999.0563000000002</v>
      </c>
      <c r="J21" s="118">
        <v>945</v>
      </c>
      <c r="K21" s="118">
        <f t="shared" ref="K21:K34" si="1">(H21+I21)-J21</f>
        <v>21691.0563</v>
      </c>
    </row>
    <row r="22" spans="1:11" ht="18" customHeight="1" x14ac:dyDescent="0.2">
      <c r="A22" s="435" t="s">
        <v>76</v>
      </c>
      <c r="B22" s="259" t="s">
        <v>6</v>
      </c>
      <c r="F22" s="221">
        <v>11.5</v>
      </c>
      <c r="G22" s="221">
        <v>8</v>
      </c>
      <c r="H22" s="118">
        <v>727</v>
      </c>
      <c r="I22" s="133">
        <f t="shared" si="0"/>
        <v>479.74730000000005</v>
      </c>
      <c r="J22" s="118">
        <v>0</v>
      </c>
      <c r="K22" s="118">
        <f t="shared" si="1"/>
        <v>1206.7473</v>
      </c>
    </row>
    <row r="23" spans="1:11" ht="18" customHeight="1" x14ac:dyDescent="0.2">
      <c r="A23" s="435" t="s">
        <v>77</v>
      </c>
      <c r="B23" s="259" t="s">
        <v>43</v>
      </c>
      <c r="F23" s="221">
        <v>64</v>
      </c>
      <c r="G23" s="221">
        <v>64</v>
      </c>
      <c r="H23" s="118">
        <v>2296</v>
      </c>
      <c r="I23" s="133">
        <f t="shared" si="0"/>
        <v>1515.1304</v>
      </c>
      <c r="J23" s="118">
        <v>0</v>
      </c>
      <c r="K23" s="118">
        <f t="shared" si="1"/>
        <v>3811.1304</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v>4</v>
      </c>
      <c r="G25" s="221">
        <v>50</v>
      </c>
      <c r="H25" s="118">
        <v>108</v>
      </c>
      <c r="I25" s="133">
        <f t="shared" si="0"/>
        <v>71.269199999999998</v>
      </c>
      <c r="J25" s="118">
        <v>0</v>
      </c>
      <c r="K25" s="118">
        <f t="shared" si="1"/>
        <v>179.26920000000001</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7805.75</v>
      </c>
      <c r="G29" s="221">
        <v>2596</v>
      </c>
      <c r="H29" s="118">
        <v>147694</v>
      </c>
      <c r="I29" s="133">
        <f t="shared" si="0"/>
        <v>97463.270600000003</v>
      </c>
      <c r="J29" s="118">
        <v>96710</v>
      </c>
      <c r="K29" s="118">
        <f t="shared" si="1"/>
        <v>148447.27059999999</v>
      </c>
    </row>
    <row r="30" spans="1:11" ht="18" customHeight="1" x14ac:dyDescent="0.2">
      <c r="A30" s="435" t="s">
        <v>84</v>
      </c>
      <c r="B30" s="456" t="s">
        <v>648</v>
      </c>
      <c r="C30" s="457"/>
      <c r="D30" s="458"/>
      <c r="F30" s="221">
        <v>7.5</v>
      </c>
      <c r="G30" s="221">
        <v>12</v>
      </c>
      <c r="H30" s="118">
        <v>2126</v>
      </c>
      <c r="I30" s="133">
        <f t="shared" si="0"/>
        <v>1402.9474</v>
      </c>
      <c r="J30" s="118">
        <v>1426</v>
      </c>
      <c r="K30" s="118">
        <f t="shared" si="1"/>
        <v>2102.9474</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8163.25</v>
      </c>
      <c r="G36" s="221">
        <f t="shared" si="2"/>
        <v>4383</v>
      </c>
      <c r="H36" s="221">
        <f t="shared" si="2"/>
        <v>166588</v>
      </c>
      <c r="I36" s="118">
        <f t="shared" si="2"/>
        <v>109931.42120000001</v>
      </c>
      <c r="J36" s="118">
        <f t="shared" si="2"/>
        <v>99081</v>
      </c>
      <c r="K36" s="118">
        <f t="shared" si="2"/>
        <v>177438.42119999998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c r="G41" s="221"/>
      <c r="H41" s="118"/>
      <c r="I41" s="133">
        <v>0</v>
      </c>
      <c r="J41" s="118"/>
      <c r="K41" s="118">
        <f t="shared" si="3"/>
        <v>0</v>
      </c>
    </row>
    <row r="42" spans="1:11" ht="18" customHeight="1" x14ac:dyDescent="0.2">
      <c r="A42" s="435" t="s">
        <v>89</v>
      </c>
      <c r="B42" s="419" t="s">
        <v>11</v>
      </c>
      <c r="F42" s="221">
        <v>320</v>
      </c>
      <c r="G42" s="221">
        <v>5</v>
      </c>
      <c r="H42" s="118">
        <v>29791</v>
      </c>
      <c r="I42" s="133">
        <v>0</v>
      </c>
      <c r="J42" s="118">
        <v>0</v>
      </c>
      <c r="K42" s="118">
        <f t="shared" si="3"/>
        <v>29791</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320</v>
      </c>
      <c r="G49" s="409">
        <f t="shared" si="4"/>
        <v>5</v>
      </c>
      <c r="H49" s="118">
        <f t="shared" si="4"/>
        <v>29791</v>
      </c>
      <c r="I49" s="118">
        <f t="shared" si="4"/>
        <v>0</v>
      </c>
      <c r="J49" s="118">
        <f t="shared" si="4"/>
        <v>0</v>
      </c>
      <c r="K49" s="118">
        <f t="shared" si="4"/>
        <v>29791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c r="C53" s="411"/>
      <c r="D53" s="412"/>
      <c r="F53" s="221"/>
      <c r="G53" s="221"/>
      <c r="H53" s="118"/>
      <c r="I53" s="133">
        <v>0</v>
      </c>
      <c r="J53" s="118"/>
      <c r="K53" s="118">
        <f t="shared" ref="K53:K62" si="5">(H53+I53)-J53</f>
        <v>0</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c r="C55" s="417"/>
      <c r="D55" s="412"/>
      <c r="F55" s="221"/>
      <c r="G55" s="221"/>
      <c r="H55" s="118"/>
      <c r="I55" s="133">
        <v>0</v>
      </c>
      <c r="J55" s="118"/>
      <c r="K55" s="118">
        <f t="shared" si="5"/>
        <v>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0</v>
      </c>
      <c r="I64" s="118">
        <f t="shared" si="6"/>
        <v>0</v>
      </c>
      <c r="J64" s="118">
        <f t="shared" si="6"/>
        <v>0</v>
      </c>
      <c r="K64" s="118">
        <f t="shared" si="6"/>
        <v>0</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72.5</v>
      </c>
      <c r="G79" s="221">
        <v>87</v>
      </c>
      <c r="H79" s="118">
        <v>5694</v>
      </c>
      <c r="I79" s="133">
        <v>0</v>
      </c>
      <c r="J79" s="118">
        <v>0</v>
      </c>
      <c r="K79" s="118">
        <f>(H79+I79)-J79</f>
        <v>5694</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72.5</v>
      </c>
      <c r="G82" s="122">
        <f t="shared" si="8"/>
        <v>87</v>
      </c>
      <c r="H82" s="118">
        <f t="shared" si="8"/>
        <v>5694</v>
      </c>
      <c r="I82" s="118">
        <f t="shared" si="8"/>
        <v>0</v>
      </c>
      <c r="J82" s="118">
        <f t="shared" si="8"/>
        <v>0</v>
      </c>
      <c r="K82" s="118">
        <f t="shared" si="8"/>
        <v>5694</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v>1</v>
      </c>
      <c r="G87" s="221">
        <v>0</v>
      </c>
      <c r="H87" s="118">
        <v>168</v>
      </c>
      <c r="I87" s="133">
        <f t="shared" si="9"/>
        <v>110.86320000000001</v>
      </c>
      <c r="J87" s="118">
        <v>0</v>
      </c>
      <c r="K87" s="118">
        <f t="shared" si="10"/>
        <v>278.86320000000001</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106.5</v>
      </c>
      <c r="G91" s="221">
        <v>775</v>
      </c>
      <c r="H91" s="118">
        <v>5161</v>
      </c>
      <c r="I91" s="133">
        <f t="shared" si="9"/>
        <v>3405.7439000000004</v>
      </c>
      <c r="J91" s="118">
        <v>0</v>
      </c>
      <c r="K91" s="118">
        <f t="shared" si="10"/>
        <v>8566.7439000000013</v>
      </c>
    </row>
    <row r="92" spans="1:11" ht="18" customHeight="1" x14ac:dyDescent="0.2">
      <c r="A92" s="435" t="s">
        <v>120</v>
      </c>
      <c r="B92" s="419" t="s">
        <v>121</v>
      </c>
      <c r="F92" s="257">
        <v>1</v>
      </c>
      <c r="G92" s="257">
        <v>0</v>
      </c>
      <c r="H92" s="429">
        <v>168</v>
      </c>
      <c r="I92" s="133">
        <f t="shared" si="9"/>
        <v>110.86320000000001</v>
      </c>
      <c r="J92" s="429">
        <v>0</v>
      </c>
      <c r="K92" s="118">
        <f t="shared" si="10"/>
        <v>278.86320000000001</v>
      </c>
    </row>
    <row r="93" spans="1:11" ht="18" customHeight="1" x14ac:dyDescent="0.2">
      <c r="A93" s="435" t="s">
        <v>122</v>
      </c>
      <c r="B93" s="419" t="s">
        <v>123</v>
      </c>
      <c r="F93" s="221">
        <v>5</v>
      </c>
      <c r="G93" s="221">
        <v>0</v>
      </c>
      <c r="H93" s="118">
        <v>124977</v>
      </c>
      <c r="I93" s="133">
        <f t="shared" si="9"/>
        <v>82472.3223</v>
      </c>
      <c r="J93" s="118">
        <v>0</v>
      </c>
      <c r="K93" s="118">
        <f t="shared" si="10"/>
        <v>207449.3223</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113.5</v>
      </c>
      <c r="G98" s="221">
        <f t="shared" si="11"/>
        <v>775</v>
      </c>
      <c r="H98" s="221">
        <f t="shared" si="11"/>
        <v>130474</v>
      </c>
      <c r="I98" s="221">
        <f t="shared" si="11"/>
        <v>86099.792600000001</v>
      </c>
      <c r="J98" s="221">
        <f t="shared" si="11"/>
        <v>0</v>
      </c>
      <c r="K98" s="221">
        <f t="shared" si="11"/>
        <v>216573.79259999999</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10</v>
      </c>
      <c r="G102" s="221">
        <v>0</v>
      </c>
      <c r="H102" s="118">
        <v>311</v>
      </c>
      <c r="I102" s="133">
        <f>H102*F$114</f>
        <v>205.22890000000001</v>
      </c>
      <c r="J102" s="118">
        <v>0</v>
      </c>
      <c r="K102" s="118">
        <f>(H102+I102)-J102</f>
        <v>516.22890000000007</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10</v>
      </c>
      <c r="G108" s="221">
        <f t="shared" si="12"/>
        <v>0</v>
      </c>
      <c r="H108" s="118">
        <f t="shared" si="12"/>
        <v>311</v>
      </c>
      <c r="I108" s="118">
        <f t="shared" si="12"/>
        <v>205.22890000000001</v>
      </c>
      <c r="J108" s="118">
        <f t="shared" si="12"/>
        <v>0</v>
      </c>
      <c r="K108" s="118">
        <f t="shared" si="12"/>
        <v>516.22890000000007</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2550792</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0.65990000000000004</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50195769</v>
      </c>
    </row>
    <row r="118" spans="1:6" ht="18" customHeight="1" x14ac:dyDescent="0.2">
      <c r="A118" s="435" t="s">
        <v>173</v>
      </c>
      <c r="B118" s="259" t="s">
        <v>18</v>
      </c>
      <c r="F118" s="118">
        <v>1346004</v>
      </c>
    </row>
    <row r="119" spans="1:6" ht="18" customHeight="1" x14ac:dyDescent="0.2">
      <c r="A119" s="435" t="s">
        <v>174</v>
      </c>
      <c r="B119" s="421" t="s">
        <v>19</v>
      </c>
      <c r="F119" s="118">
        <f>SUM(F117:F118)</f>
        <v>51541773</v>
      </c>
    </row>
    <row r="120" spans="1:6" ht="18" customHeight="1" x14ac:dyDescent="0.2">
      <c r="A120" s="435"/>
      <c r="B120" s="421"/>
    </row>
    <row r="121" spans="1:6" ht="18" customHeight="1" x14ac:dyDescent="0.2">
      <c r="A121" s="435" t="s">
        <v>167</v>
      </c>
      <c r="B121" s="421" t="s">
        <v>36</v>
      </c>
      <c r="F121" s="118">
        <v>51150258</v>
      </c>
    </row>
    <row r="122" spans="1:6" ht="18" customHeight="1" x14ac:dyDescent="0.2">
      <c r="A122" s="435"/>
    </row>
    <row r="123" spans="1:6" ht="18" customHeight="1" x14ac:dyDescent="0.2">
      <c r="A123" s="435" t="s">
        <v>175</v>
      </c>
      <c r="B123" s="421" t="s">
        <v>20</v>
      </c>
      <c r="F123" s="118">
        <v>391515</v>
      </c>
    </row>
    <row r="124" spans="1:6" ht="18" customHeight="1" x14ac:dyDescent="0.2">
      <c r="A124" s="435"/>
    </row>
    <row r="125" spans="1:6" ht="18" customHeight="1" x14ac:dyDescent="0.2">
      <c r="A125" s="435" t="s">
        <v>176</v>
      </c>
      <c r="B125" s="421" t="s">
        <v>21</v>
      </c>
      <c r="F125" s="118">
        <v>776469</v>
      </c>
    </row>
    <row r="126" spans="1:6" ht="18" customHeight="1" x14ac:dyDescent="0.2">
      <c r="A126" s="435"/>
    </row>
    <row r="127" spans="1:6" ht="18" customHeight="1" x14ac:dyDescent="0.2">
      <c r="A127" s="435" t="s">
        <v>177</v>
      </c>
      <c r="B127" s="421" t="s">
        <v>22</v>
      </c>
      <c r="F127" s="118">
        <v>1167983</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8163.25</v>
      </c>
      <c r="G141" s="422">
        <f t="shared" si="14"/>
        <v>4383</v>
      </c>
      <c r="H141" s="422">
        <f t="shared" si="14"/>
        <v>166588</v>
      </c>
      <c r="I141" s="422">
        <f t="shared" si="14"/>
        <v>109931.42120000001</v>
      </c>
      <c r="J141" s="422">
        <f t="shared" si="14"/>
        <v>99081</v>
      </c>
      <c r="K141" s="422">
        <f t="shared" si="14"/>
        <v>177438.42119999998</v>
      </c>
    </row>
    <row r="142" spans="1:11" ht="18" customHeight="1" x14ac:dyDescent="0.2">
      <c r="A142" s="435" t="s">
        <v>142</v>
      </c>
      <c r="B142" s="421" t="s">
        <v>65</v>
      </c>
      <c r="F142" s="422">
        <f t="shared" ref="F142:K142" si="15">F49</f>
        <v>320</v>
      </c>
      <c r="G142" s="422">
        <f t="shared" si="15"/>
        <v>5</v>
      </c>
      <c r="H142" s="422">
        <f t="shared" si="15"/>
        <v>29791</v>
      </c>
      <c r="I142" s="422">
        <f t="shared" si="15"/>
        <v>0</v>
      </c>
      <c r="J142" s="422">
        <f t="shared" si="15"/>
        <v>0</v>
      </c>
      <c r="K142" s="422">
        <f t="shared" si="15"/>
        <v>29791</v>
      </c>
    </row>
    <row r="143" spans="1:11" ht="18" customHeight="1" x14ac:dyDescent="0.2">
      <c r="A143" s="435" t="s">
        <v>144</v>
      </c>
      <c r="B143" s="421" t="s">
        <v>66</v>
      </c>
      <c r="F143" s="422">
        <f t="shared" ref="F143:K143" si="16">F64</f>
        <v>0</v>
      </c>
      <c r="G143" s="422">
        <f t="shared" si="16"/>
        <v>0</v>
      </c>
      <c r="H143" s="422">
        <f t="shared" si="16"/>
        <v>0</v>
      </c>
      <c r="I143" s="422">
        <f t="shared" si="16"/>
        <v>0</v>
      </c>
      <c r="J143" s="422">
        <f t="shared" si="16"/>
        <v>0</v>
      </c>
      <c r="K143" s="422">
        <f t="shared" si="16"/>
        <v>0</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72.5</v>
      </c>
      <c r="G145" s="422">
        <f t="shared" si="18"/>
        <v>87</v>
      </c>
      <c r="H145" s="422">
        <f t="shared" si="18"/>
        <v>5694</v>
      </c>
      <c r="I145" s="422">
        <f t="shared" si="18"/>
        <v>0</v>
      </c>
      <c r="J145" s="422">
        <f t="shared" si="18"/>
        <v>0</v>
      </c>
      <c r="K145" s="422">
        <f t="shared" si="18"/>
        <v>5694</v>
      </c>
    </row>
    <row r="146" spans="1:11" ht="18" customHeight="1" x14ac:dyDescent="0.2">
      <c r="A146" s="435" t="s">
        <v>150</v>
      </c>
      <c r="B146" s="421" t="s">
        <v>69</v>
      </c>
      <c r="F146" s="422">
        <f t="shared" ref="F146:K146" si="19">F98</f>
        <v>113.5</v>
      </c>
      <c r="G146" s="422">
        <f t="shared" si="19"/>
        <v>775</v>
      </c>
      <c r="H146" s="422">
        <f t="shared" si="19"/>
        <v>130474</v>
      </c>
      <c r="I146" s="422">
        <f t="shared" si="19"/>
        <v>86099.792600000001</v>
      </c>
      <c r="J146" s="422">
        <f t="shared" si="19"/>
        <v>0</v>
      </c>
      <c r="K146" s="422">
        <f t="shared" si="19"/>
        <v>216573.79259999999</v>
      </c>
    </row>
    <row r="147" spans="1:11" ht="18" customHeight="1" x14ac:dyDescent="0.2">
      <c r="A147" s="435" t="s">
        <v>153</v>
      </c>
      <c r="B147" s="421" t="s">
        <v>61</v>
      </c>
      <c r="F147" s="221">
        <f t="shared" ref="F147:K147" si="20">F108</f>
        <v>10</v>
      </c>
      <c r="G147" s="221">
        <f t="shared" si="20"/>
        <v>0</v>
      </c>
      <c r="H147" s="221">
        <f t="shared" si="20"/>
        <v>311</v>
      </c>
      <c r="I147" s="221">
        <f t="shared" si="20"/>
        <v>205.22890000000001</v>
      </c>
      <c r="J147" s="221">
        <f t="shared" si="20"/>
        <v>0</v>
      </c>
      <c r="K147" s="221">
        <f t="shared" si="20"/>
        <v>516.22890000000007</v>
      </c>
    </row>
    <row r="148" spans="1:11" ht="18" customHeight="1" x14ac:dyDescent="0.2">
      <c r="A148" s="435" t="s">
        <v>155</v>
      </c>
      <c r="B148" s="421" t="s">
        <v>70</v>
      </c>
      <c r="F148" s="485" t="s">
        <v>73</v>
      </c>
      <c r="G148" s="485" t="s">
        <v>73</v>
      </c>
      <c r="H148" s="486" t="s">
        <v>73</v>
      </c>
      <c r="I148" s="486" t="s">
        <v>73</v>
      </c>
      <c r="J148" s="486" t="s">
        <v>73</v>
      </c>
      <c r="K148" s="423">
        <f>F111</f>
        <v>2550792</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1218348.47</v>
      </c>
      <c r="I150" s="221">
        <f>I18</f>
        <v>0</v>
      </c>
      <c r="J150" s="221">
        <f>J18</f>
        <v>1029744.9</v>
      </c>
      <c r="K150" s="221">
        <f>K18</f>
        <v>188603.56999999995</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8679.25</v>
      </c>
      <c r="G152" s="487">
        <f t="shared" si="22"/>
        <v>5250</v>
      </c>
      <c r="H152" s="487">
        <f t="shared" si="22"/>
        <v>1551206.47</v>
      </c>
      <c r="I152" s="487">
        <f t="shared" si="22"/>
        <v>196236.44270000001</v>
      </c>
      <c r="J152" s="487">
        <f t="shared" si="22"/>
        <v>1128825.8999999999</v>
      </c>
      <c r="K152" s="487">
        <f t="shared" si="22"/>
        <v>3169409.0126999998</v>
      </c>
    </row>
    <row r="154" spans="1:11" ht="18" customHeight="1" x14ac:dyDescent="0.2">
      <c r="A154" s="455" t="s">
        <v>168</v>
      </c>
      <c r="B154" s="421" t="s">
        <v>28</v>
      </c>
      <c r="F154" s="140">
        <f>K152/F121</f>
        <v>6.196271801209683E-2</v>
      </c>
    </row>
    <row r="155" spans="1:11" ht="18" customHeight="1" x14ac:dyDescent="0.2">
      <c r="A155" s="455" t="s">
        <v>169</v>
      </c>
      <c r="B155" s="421" t="s">
        <v>72</v>
      </c>
      <c r="F155" s="140">
        <f>K152/F127</f>
        <v>2.7135746091338655</v>
      </c>
      <c r="G155" s="421"/>
    </row>
    <row r="156" spans="1:11" ht="18" customHeight="1" x14ac:dyDescent="0.2">
      <c r="G156" s="421"/>
    </row>
  </sheetData>
  <sheetProtection algorithmName="SHA-512" hashValue="LG+wVocbKJrklUbCwQ2UxxD92yqCMzDAqj1kh1IW9m95Oqj7tEjUK6P0HmxVanQ4ytmoyTaTfO0QdsZeFqIE0g==" saltValue="DpTOWImBynY/0dLW3DA3xg=="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56"/>
  <sheetViews>
    <sheetView zoomScale="80" zoomScaleNormal="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449</v>
      </c>
      <c r="D5" s="437"/>
      <c r="E5" s="437"/>
      <c r="F5" s="437"/>
      <c r="G5" s="438"/>
    </row>
    <row r="6" spans="1:11" ht="18" customHeight="1" x14ac:dyDescent="0.2">
      <c r="B6" s="435" t="s">
        <v>3</v>
      </c>
      <c r="C6" s="637" t="s">
        <v>687</v>
      </c>
      <c r="D6" s="440"/>
      <c r="E6" s="440"/>
      <c r="F6" s="440"/>
      <c r="G6" s="441"/>
    </row>
    <row r="7" spans="1:11" ht="18" customHeight="1" x14ac:dyDescent="0.2">
      <c r="B7" s="435" t="s">
        <v>4</v>
      </c>
      <c r="C7" s="398">
        <v>1721</v>
      </c>
      <c r="D7" s="399"/>
      <c r="E7" s="399"/>
      <c r="F7" s="399"/>
      <c r="G7" s="400"/>
    </row>
    <row r="9" spans="1:11" ht="18" customHeight="1" x14ac:dyDescent="0.2">
      <c r="B9" s="435" t="s">
        <v>1</v>
      </c>
      <c r="C9" s="436" t="s">
        <v>500</v>
      </c>
      <c r="D9" s="437"/>
      <c r="E9" s="437"/>
      <c r="F9" s="437"/>
      <c r="G9" s="438"/>
    </row>
    <row r="10" spans="1:11" ht="18" customHeight="1" x14ac:dyDescent="0.2">
      <c r="B10" s="435" t="s">
        <v>2</v>
      </c>
      <c r="C10" s="445" t="s">
        <v>501</v>
      </c>
      <c r="D10" s="446"/>
      <c r="E10" s="446"/>
      <c r="F10" s="446"/>
      <c r="G10" s="447"/>
    </row>
    <row r="11" spans="1:11" ht="18" customHeight="1" x14ac:dyDescent="0.2">
      <c r="B11" s="435" t="s">
        <v>32</v>
      </c>
      <c r="C11" s="436" t="s">
        <v>502</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3971651.6058547702</v>
      </c>
      <c r="I18" s="133">
        <v>0</v>
      </c>
      <c r="J18" s="118">
        <v>3356829.3338595186</v>
      </c>
      <c r="K18" s="118">
        <f>(H18+I18)-J18</f>
        <v>614822.27199525153</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1069</v>
      </c>
      <c r="G21" s="221">
        <v>12055</v>
      </c>
      <c r="H21" s="118">
        <v>127824</v>
      </c>
      <c r="I21" s="133">
        <v>71517</v>
      </c>
      <c r="J21" s="118">
        <v>18465</v>
      </c>
      <c r="K21" s="118">
        <v>180876</v>
      </c>
    </row>
    <row r="22" spans="1:11" ht="18" customHeight="1" x14ac:dyDescent="0.2">
      <c r="A22" s="435" t="s">
        <v>76</v>
      </c>
      <c r="B22" s="259" t="s">
        <v>6</v>
      </c>
      <c r="F22" s="221"/>
      <c r="G22" s="221"/>
      <c r="H22" s="118"/>
      <c r="I22" s="133">
        <f t="shared" ref="I22:I34" si="0">H22*F$114</f>
        <v>0</v>
      </c>
      <c r="J22" s="118"/>
      <c r="K22" s="118">
        <f t="shared" ref="K22:K34" si="1">(H22+I22)-J22</f>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v>27</v>
      </c>
      <c r="G24" s="221">
        <v>120</v>
      </c>
      <c r="H24" s="118">
        <v>4900</v>
      </c>
      <c r="I24" s="133">
        <v>0</v>
      </c>
      <c r="J24" s="118"/>
      <c r="K24" s="118">
        <f t="shared" si="1"/>
        <v>4900</v>
      </c>
    </row>
    <row r="25" spans="1:11" ht="18" customHeight="1" x14ac:dyDescent="0.2">
      <c r="A25" s="435" t="s">
        <v>79</v>
      </c>
      <c r="B25" s="259" t="s">
        <v>5</v>
      </c>
      <c r="F25" s="221"/>
      <c r="G25" s="221"/>
      <c r="H25" s="118"/>
      <c r="I25" s="133">
        <f t="shared" si="0"/>
        <v>0</v>
      </c>
      <c r="J25" s="118"/>
      <c r="K25" s="118">
        <f t="shared" si="1"/>
        <v>0</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1123</v>
      </c>
      <c r="G29" s="221">
        <v>252</v>
      </c>
      <c r="H29" s="118">
        <v>228270</v>
      </c>
      <c r="I29" s="133">
        <v>56552</v>
      </c>
      <c r="J29" s="118"/>
      <c r="K29" s="118">
        <v>284822</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2219</v>
      </c>
      <c r="G36" s="221">
        <f t="shared" si="2"/>
        <v>12427</v>
      </c>
      <c r="H36" s="221">
        <f t="shared" si="2"/>
        <v>360994</v>
      </c>
      <c r="I36" s="118">
        <f t="shared" si="2"/>
        <v>128069</v>
      </c>
      <c r="J36" s="118">
        <f t="shared" si="2"/>
        <v>18465</v>
      </c>
      <c r="K36" s="118">
        <f t="shared" si="2"/>
        <v>470598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280</v>
      </c>
      <c r="G40" s="221">
        <v>1400</v>
      </c>
      <c r="H40" s="118">
        <v>14713</v>
      </c>
      <c r="I40" s="133">
        <v>12609</v>
      </c>
      <c r="J40" s="118"/>
      <c r="K40" s="118">
        <v>27322</v>
      </c>
    </row>
    <row r="41" spans="1:11" ht="18" customHeight="1" x14ac:dyDescent="0.2">
      <c r="A41" s="435" t="s">
        <v>88</v>
      </c>
      <c r="B41" s="465" t="s">
        <v>50</v>
      </c>
      <c r="C41" s="466"/>
      <c r="F41" s="221">
        <v>130.30000000000001</v>
      </c>
      <c r="G41" s="221">
        <v>935</v>
      </c>
      <c r="H41" s="118">
        <v>9033</v>
      </c>
      <c r="I41" s="133">
        <v>7741</v>
      </c>
      <c r="J41" s="118"/>
      <c r="K41" s="118">
        <v>16774</v>
      </c>
    </row>
    <row r="42" spans="1:11" ht="18" customHeight="1" x14ac:dyDescent="0.2">
      <c r="A42" s="435" t="s">
        <v>89</v>
      </c>
      <c r="B42" s="419" t="s">
        <v>11</v>
      </c>
      <c r="F42" s="221">
        <v>3032.5</v>
      </c>
      <c r="G42" s="221">
        <v>67</v>
      </c>
      <c r="H42" s="118">
        <v>105851</v>
      </c>
      <c r="I42" s="133">
        <v>88943</v>
      </c>
      <c r="J42" s="118"/>
      <c r="K42" s="118">
        <v>194794</v>
      </c>
    </row>
    <row r="43" spans="1:11" ht="18" customHeight="1" x14ac:dyDescent="0.2">
      <c r="A43" s="435" t="s">
        <v>90</v>
      </c>
      <c r="B43" s="467" t="s">
        <v>10</v>
      </c>
      <c r="C43" s="468"/>
      <c r="D43" s="468"/>
      <c r="F43" s="221"/>
      <c r="G43" s="221"/>
      <c r="H43" s="118"/>
      <c r="I43" s="133">
        <v>0</v>
      </c>
      <c r="J43" s="118"/>
      <c r="K43" s="118">
        <f t="shared" ref="K43:K47" si="3">(H43+I43)-J43</f>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3442.8</v>
      </c>
      <c r="G49" s="409">
        <f t="shared" si="4"/>
        <v>2402</v>
      </c>
      <c r="H49" s="118">
        <f t="shared" si="4"/>
        <v>129597</v>
      </c>
      <c r="I49" s="118">
        <f t="shared" si="4"/>
        <v>109293</v>
      </c>
      <c r="J49" s="118">
        <f t="shared" si="4"/>
        <v>0</v>
      </c>
      <c r="K49" s="118">
        <f t="shared" si="4"/>
        <v>238890</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390</v>
      </c>
      <c r="C53" s="411"/>
      <c r="D53" s="412"/>
      <c r="F53" s="221"/>
      <c r="G53" s="221"/>
      <c r="H53" s="118">
        <v>3308704</v>
      </c>
      <c r="I53" s="133">
        <v>0</v>
      </c>
      <c r="J53" s="118">
        <v>2420251</v>
      </c>
      <c r="K53" s="118">
        <f t="shared" ref="K53:K62" si="5">(H53+I53)-J53</f>
        <v>888453</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c r="C55" s="417"/>
      <c r="D55" s="412"/>
      <c r="F55" s="221"/>
      <c r="G55" s="221"/>
      <c r="H55" s="118"/>
      <c r="I55" s="133">
        <v>0</v>
      </c>
      <c r="J55" s="118"/>
      <c r="K55" s="118">
        <f t="shared" si="5"/>
        <v>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t="s">
        <v>688</v>
      </c>
      <c r="C57" s="417"/>
      <c r="D57" s="412"/>
      <c r="F57" s="221"/>
      <c r="G57" s="221"/>
      <c r="H57" s="118">
        <v>5666839</v>
      </c>
      <c r="I57" s="133">
        <v>0</v>
      </c>
      <c r="J57" s="118">
        <v>3959547</v>
      </c>
      <c r="K57" s="118">
        <f t="shared" si="5"/>
        <v>1707292</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t="s">
        <v>689</v>
      </c>
      <c r="C59" s="417"/>
      <c r="D59" s="412"/>
      <c r="F59" s="221"/>
      <c r="G59" s="221"/>
      <c r="H59" s="118">
        <v>133614</v>
      </c>
      <c r="I59" s="133">
        <v>0</v>
      </c>
      <c r="J59" s="118">
        <v>13253</v>
      </c>
      <c r="K59" s="118">
        <f t="shared" si="5"/>
        <v>120361</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9109157</v>
      </c>
      <c r="I64" s="118">
        <f t="shared" si="6"/>
        <v>0</v>
      </c>
      <c r="J64" s="118">
        <f t="shared" si="6"/>
        <v>6393051</v>
      </c>
      <c r="K64" s="118">
        <f t="shared" si="6"/>
        <v>2716106</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v>1240</v>
      </c>
      <c r="H77" s="118">
        <v>141668</v>
      </c>
      <c r="I77" s="133">
        <v>0</v>
      </c>
      <c r="J77" s="118"/>
      <c r="K77" s="118">
        <f>(H77+I77)-J77</f>
        <v>141668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75</v>
      </c>
      <c r="G79" s="221">
        <v>102</v>
      </c>
      <c r="H79" s="118">
        <v>23764</v>
      </c>
      <c r="I79" s="133">
        <v>3271</v>
      </c>
      <c r="J79" s="118"/>
      <c r="K79" s="118">
        <f>(H79+I79)-J79</f>
        <v>27035</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75</v>
      </c>
      <c r="G82" s="122">
        <f t="shared" si="8"/>
        <v>1342</v>
      </c>
      <c r="H82" s="118">
        <f t="shared" si="8"/>
        <v>165432</v>
      </c>
      <c r="I82" s="118">
        <f t="shared" si="8"/>
        <v>3271</v>
      </c>
      <c r="J82" s="118">
        <f t="shared" si="8"/>
        <v>0</v>
      </c>
      <c r="K82" s="118">
        <f t="shared" si="8"/>
        <v>168703</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900</v>
      </c>
      <c r="G88" s="221"/>
      <c r="H88" s="118">
        <v>28741</v>
      </c>
      <c r="I88" s="133">
        <v>24631</v>
      </c>
      <c r="J88" s="118"/>
      <c r="K88" s="118">
        <f t="shared" si="10"/>
        <v>53372</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318</v>
      </c>
      <c r="G91" s="221"/>
      <c r="H91" s="118">
        <v>17678</v>
      </c>
      <c r="I91" s="133">
        <v>4288</v>
      </c>
      <c r="J91" s="118"/>
      <c r="K91" s="118">
        <f t="shared" si="10"/>
        <v>21966</v>
      </c>
    </row>
    <row r="92" spans="1:11" ht="18" customHeight="1" x14ac:dyDescent="0.2">
      <c r="A92" s="435" t="s">
        <v>120</v>
      </c>
      <c r="B92" s="419" t="s">
        <v>121</v>
      </c>
      <c r="F92" s="257"/>
      <c r="G92" s="257"/>
      <c r="H92" s="429">
        <v>26385</v>
      </c>
      <c r="I92" s="133">
        <v>0</v>
      </c>
      <c r="J92" s="429"/>
      <c r="K92" s="118">
        <f t="shared" si="10"/>
        <v>26385</v>
      </c>
    </row>
    <row r="93" spans="1:11" ht="18" customHeight="1" x14ac:dyDescent="0.2">
      <c r="A93" s="435" t="s">
        <v>122</v>
      </c>
      <c r="B93" s="419" t="s">
        <v>123</v>
      </c>
      <c r="F93" s="221">
        <v>28.8</v>
      </c>
      <c r="G93" s="221"/>
      <c r="H93" s="118">
        <v>13610</v>
      </c>
      <c r="I93" s="133">
        <v>0</v>
      </c>
      <c r="J93" s="118"/>
      <c r="K93" s="118">
        <f t="shared" si="10"/>
        <v>13610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1246.8</v>
      </c>
      <c r="G98" s="221">
        <f t="shared" si="11"/>
        <v>0</v>
      </c>
      <c r="H98" s="221">
        <f t="shared" si="11"/>
        <v>86414</v>
      </c>
      <c r="I98" s="221">
        <f t="shared" si="11"/>
        <v>28919</v>
      </c>
      <c r="J98" s="221">
        <f t="shared" si="11"/>
        <v>0</v>
      </c>
      <c r="K98" s="221">
        <f t="shared" si="11"/>
        <v>115333</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c r="G102" s="221"/>
      <c r="H102" s="118">
        <v>106039</v>
      </c>
      <c r="I102" s="133">
        <v>26181</v>
      </c>
      <c r="J102" s="118"/>
      <c r="K102" s="118">
        <f>(H102+I102)-J102</f>
        <v>132220</v>
      </c>
    </row>
    <row r="103" spans="1:11" ht="18" customHeight="1" x14ac:dyDescent="0.2">
      <c r="A103" s="435" t="s">
        <v>132</v>
      </c>
      <c r="B103" s="465" t="s">
        <v>62</v>
      </c>
      <c r="C103" s="465"/>
      <c r="F103" s="221">
        <v>60</v>
      </c>
      <c r="G103" s="221"/>
      <c r="H103" s="118">
        <v>28335</v>
      </c>
      <c r="I103" s="133">
        <v>0</v>
      </c>
      <c r="J103" s="118"/>
      <c r="K103" s="118">
        <f>(H103+I103)-J103</f>
        <v>28335</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60</v>
      </c>
      <c r="G108" s="221">
        <f t="shared" si="12"/>
        <v>0</v>
      </c>
      <c r="H108" s="118">
        <f t="shared" si="12"/>
        <v>134374</v>
      </c>
      <c r="I108" s="118">
        <f t="shared" si="12"/>
        <v>26181</v>
      </c>
      <c r="J108" s="118">
        <f t="shared" si="12"/>
        <v>0</v>
      </c>
      <c r="K108" s="118">
        <f t="shared" si="12"/>
        <v>160555</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1847698</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638">
        <v>0.85709999999999997</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168598242</v>
      </c>
    </row>
    <row r="118" spans="1:6" ht="18" customHeight="1" x14ac:dyDescent="0.2">
      <c r="A118" s="435" t="s">
        <v>173</v>
      </c>
      <c r="B118" s="259" t="s">
        <v>18</v>
      </c>
      <c r="F118" s="118">
        <v>3885063</v>
      </c>
    </row>
    <row r="119" spans="1:6" ht="18" customHeight="1" x14ac:dyDescent="0.2">
      <c r="A119" s="435" t="s">
        <v>174</v>
      </c>
      <c r="B119" s="421" t="s">
        <v>19</v>
      </c>
      <c r="F119" s="118">
        <f>SUM(F117:F118)</f>
        <v>172483305</v>
      </c>
    </row>
    <row r="120" spans="1:6" ht="18" customHeight="1" x14ac:dyDescent="0.2">
      <c r="A120" s="435"/>
      <c r="B120" s="421"/>
    </row>
    <row r="121" spans="1:6" ht="18" customHeight="1" x14ac:dyDescent="0.2">
      <c r="A121" s="435" t="s">
        <v>167</v>
      </c>
      <c r="B121" s="421" t="s">
        <v>36</v>
      </c>
      <c r="F121" s="118">
        <v>165450371</v>
      </c>
    </row>
    <row r="122" spans="1:6" ht="18" customHeight="1" x14ac:dyDescent="0.2">
      <c r="A122" s="435"/>
    </row>
    <row r="123" spans="1:6" ht="18" customHeight="1" x14ac:dyDescent="0.2">
      <c r="A123" s="435" t="s">
        <v>175</v>
      </c>
      <c r="B123" s="421" t="s">
        <v>20</v>
      </c>
      <c r="F123" s="118">
        <v>7032934</v>
      </c>
    </row>
    <row r="124" spans="1:6" ht="18" customHeight="1" x14ac:dyDescent="0.2">
      <c r="A124" s="435"/>
    </row>
    <row r="125" spans="1:6" ht="18" customHeight="1" x14ac:dyDescent="0.2">
      <c r="A125" s="435" t="s">
        <v>176</v>
      </c>
      <c r="B125" s="421" t="s">
        <v>21</v>
      </c>
      <c r="F125" s="118">
        <v>106508</v>
      </c>
    </row>
    <row r="126" spans="1:6" ht="18" customHeight="1" x14ac:dyDescent="0.2">
      <c r="A126" s="435"/>
    </row>
    <row r="127" spans="1:6" ht="18" customHeight="1" x14ac:dyDescent="0.2">
      <c r="A127" s="435" t="s">
        <v>177</v>
      </c>
      <c r="B127" s="421" t="s">
        <v>22</v>
      </c>
      <c r="F127" s="118">
        <f>SUM(F123:F126)</f>
        <v>7139442</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2219</v>
      </c>
      <c r="G141" s="422">
        <f t="shared" si="14"/>
        <v>12427</v>
      </c>
      <c r="H141" s="422">
        <f t="shared" si="14"/>
        <v>360994</v>
      </c>
      <c r="I141" s="422">
        <f t="shared" si="14"/>
        <v>128069</v>
      </c>
      <c r="J141" s="422">
        <f t="shared" si="14"/>
        <v>18465</v>
      </c>
      <c r="K141" s="422">
        <f t="shared" si="14"/>
        <v>470598</v>
      </c>
    </row>
    <row r="142" spans="1:11" ht="18" customHeight="1" x14ac:dyDescent="0.2">
      <c r="A142" s="435" t="s">
        <v>142</v>
      </c>
      <c r="B142" s="421" t="s">
        <v>65</v>
      </c>
      <c r="F142" s="422">
        <f t="shared" ref="F142:K142" si="15">F49</f>
        <v>3442.8</v>
      </c>
      <c r="G142" s="422">
        <f t="shared" si="15"/>
        <v>2402</v>
      </c>
      <c r="H142" s="422">
        <f t="shared" si="15"/>
        <v>129597</v>
      </c>
      <c r="I142" s="422">
        <f t="shared" si="15"/>
        <v>109293</v>
      </c>
      <c r="J142" s="422">
        <f t="shared" si="15"/>
        <v>0</v>
      </c>
      <c r="K142" s="422">
        <f t="shared" si="15"/>
        <v>238890</v>
      </c>
    </row>
    <row r="143" spans="1:11" ht="18" customHeight="1" x14ac:dyDescent="0.2">
      <c r="A143" s="435" t="s">
        <v>144</v>
      </c>
      <c r="B143" s="421" t="s">
        <v>66</v>
      </c>
      <c r="F143" s="422">
        <f t="shared" ref="F143:K143" si="16">F64</f>
        <v>0</v>
      </c>
      <c r="G143" s="422">
        <f t="shared" si="16"/>
        <v>0</v>
      </c>
      <c r="H143" s="422">
        <f t="shared" si="16"/>
        <v>9109157</v>
      </c>
      <c r="I143" s="422">
        <f t="shared" si="16"/>
        <v>0</v>
      </c>
      <c r="J143" s="422">
        <f t="shared" si="16"/>
        <v>6393051</v>
      </c>
      <c r="K143" s="422">
        <f t="shared" si="16"/>
        <v>2716106</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75</v>
      </c>
      <c r="G145" s="422">
        <f t="shared" si="18"/>
        <v>1342</v>
      </c>
      <c r="H145" s="422">
        <f t="shared" si="18"/>
        <v>165432</v>
      </c>
      <c r="I145" s="422">
        <f t="shared" si="18"/>
        <v>3271</v>
      </c>
      <c r="J145" s="422">
        <f t="shared" si="18"/>
        <v>0</v>
      </c>
      <c r="K145" s="422">
        <f t="shared" si="18"/>
        <v>168703</v>
      </c>
    </row>
    <row r="146" spans="1:11" ht="18" customHeight="1" x14ac:dyDescent="0.2">
      <c r="A146" s="435" t="s">
        <v>150</v>
      </c>
      <c r="B146" s="421" t="s">
        <v>69</v>
      </c>
      <c r="F146" s="422">
        <f t="shared" ref="F146:K146" si="19">F98</f>
        <v>1246.8</v>
      </c>
      <c r="G146" s="422">
        <f t="shared" si="19"/>
        <v>0</v>
      </c>
      <c r="H146" s="422">
        <f t="shared" si="19"/>
        <v>86414</v>
      </c>
      <c r="I146" s="422">
        <f t="shared" si="19"/>
        <v>28919</v>
      </c>
      <c r="J146" s="422">
        <f t="shared" si="19"/>
        <v>0</v>
      </c>
      <c r="K146" s="422">
        <f t="shared" si="19"/>
        <v>115333</v>
      </c>
    </row>
    <row r="147" spans="1:11" ht="18" customHeight="1" x14ac:dyDescent="0.2">
      <c r="A147" s="435" t="s">
        <v>153</v>
      </c>
      <c r="B147" s="421" t="s">
        <v>61</v>
      </c>
      <c r="F147" s="221">
        <f t="shared" ref="F147:K147" si="20">F108</f>
        <v>60</v>
      </c>
      <c r="G147" s="221">
        <f t="shared" si="20"/>
        <v>0</v>
      </c>
      <c r="H147" s="221">
        <f t="shared" si="20"/>
        <v>134374</v>
      </c>
      <c r="I147" s="221">
        <f t="shared" si="20"/>
        <v>26181</v>
      </c>
      <c r="J147" s="221">
        <f t="shared" si="20"/>
        <v>0</v>
      </c>
      <c r="K147" s="221">
        <f t="shared" si="20"/>
        <v>160555</v>
      </c>
    </row>
    <row r="148" spans="1:11" ht="18" customHeight="1" x14ac:dyDescent="0.2">
      <c r="A148" s="435" t="s">
        <v>155</v>
      </c>
      <c r="B148" s="421" t="s">
        <v>70</v>
      </c>
      <c r="F148" s="485" t="s">
        <v>73</v>
      </c>
      <c r="G148" s="485" t="s">
        <v>73</v>
      </c>
      <c r="H148" s="486" t="s">
        <v>73</v>
      </c>
      <c r="I148" s="486" t="s">
        <v>73</v>
      </c>
      <c r="J148" s="486" t="s">
        <v>73</v>
      </c>
      <c r="K148" s="423">
        <f>F111</f>
        <v>1847698</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3971651.6058547702</v>
      </c>
      <c r="I150" s="221">
        <f>I18</f>
        <v>0</v>
      </c>
      <c r="J150" s="221">
        <f>J18</f>
        <v>3356829.3338595186</v>
      </c>
      <c r="K150" s="221">
        <f>K18</f>
        <v>614822.27199525153</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7043.6</v>
      </c>
      <c r="G152" s="487">
        <f t="shared" si="22"/>
        <v>16171</v>
      </c>
      <c r="H152" s="487">
        <f t="shared" si="22"/>
        <v>13957619.60585477</v>
      </c>
      <c r="I152" s="487">
        <f t="shared" si="22"/>
        <v>295733</v>
      </c>
      <c r="J152" s="487">
        <f t="shared" si="22"/>
        <v>9768345.3338595182</v>
      </c>
      <c r="K152" s="487">
        <f t="shared" si="22"/>
        <v>6332705.271995252</v>
      </c>
    </row>
    <row r="154" spans="1:11" ht="18" customHeight="1" x14ac:dyDescent="0.2">
      <c r="A154" s="455" t="s">
        <v>168</v>
      </c>
      <c r="B154" s="421" t="s">
        <v>28</v>
      </c>
      <c r="F154" s="140">
        <f>K152/F121</f>
        <v>3.8275558004008656E-2</v>
      </c>
    </row>
    <row r="155" spans="1:11" ht="18" customHeight="1" x14ac:dyDescent="0.2">
      <c r="A155" s="455" t="s">
        <v>169</v>
      </c>
      <c r="B155" s="421" t="s">
        <v>72</v>
      </c>
      <c r="F155" s="140">
        <f>K152/F127</f>
        <v>0.88700283187331053</v>
      </c>
      <c r="G155" s="421"/>
    </row>
    <row r="156" spans="1:11" ht="18" customHeight="1" x14ac:dyDescent="0.2">
      <c r="G156" s="421"/>
    </row>
  </sheetData>
  <sheetProtection algorithmName="SHA-512" hashValue="arK2qzHDjZC6B7O0Y0hZ0xBVYo5rqR7wRQAGD5SzY/4f1RFOwoE9sma6CYlHUp4nVDeGnKZKQ5idZc2tiW3lNQ==" saltValue="lNnSGSFL5TAdKrieSXKHyg=="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pageMargins left="0.7" right="0.7" top="0.75" bottom="0.75" header="0.3" footer="0.3"/>
  <pageSetup paperSize="5"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4.7109375" style="259"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450</v>
      </c>
      <c r="D5" s="437"/>
      <c r="E5" s="437"/>
      <c r="F5" s="437"/>
      <c r="G5" s="438"/>
    </row>
    <row r="6" spans="1:11" ht="18" customHeight="1" x14ac:dyDescent="0.2">
      <c r="B6" s="435" t="s">
        <v>3</v>
      </c>
      <c r="C6" s="439">
        <v>210019</v>
      </c>
      <c r="D6" s="440"/>
      <c r="E6" s="440"/>
      <c r="F6" s="440"/>
      <c r="G6" s="441"/>
    </row>
    <row r="7" spans="1:11" ht="18" customHeight="1" x14ac:dyDescent="0.2">
      <c r="B7" s="435" t="s">
        <v>4</v>
      </c>
      <c r="C7" s="492">
        <v>2794</v>
      </c>
      <c r="D7" s="493"/>
      <c r="E7" s="493"/>
      <c r="F7" s="493"/>
      <c r="G7" s="494"/>
    </row>
    <row r="9" spans="1:11" ht="18" customHeight="1" x14ac:dyDescent="0.2">
      <c r="B9" s="435" t="s">
        <v>1</v>
      </c>
      <c r="C9" s="436" t="s">
        <v>767</v>
      </c>
      <c r="D9" s="437"/>
      <c r="E9" s="437"/>
      <c r="F9" s="437"/>
      <c r="G9" s="438"/>
    </row>
    <row r="10" spans="1:11" ht="18" customHeight="1" x14ac:dyDescent="0.2">
      <c r="B10" s="435" t="s">
        <v>2</v>
      </c>
      <c r="C10" s="445" t="s">
        <v>768</v>
      </c>
      <c r="D10" s="446"/>
      <c r="E10" s="446"/>
      <c r="F10" s="446"/>
      <c r="G10" s="447"/>
    </row>
    <row r="11" spans="1:11" ht="18" customHeight="1" x14ac:dyDescent="0.2">
      <c r="B11" s="435" t="s">
        <v>32</v>
      </c>
      <c r="C11" s="634" t="s">
        <v>769</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9651374</v>
      </c>
      <c r="I18" s="133">
        <v>0</v>
      </c>
      <c r="J18" s="118">
        <v>8157315</v>
      </c>
      <c r="K18" s="118">
        <f>(H18+I18)-J18</f>
        <v>1494059</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1902</v>
      </c>
      <c r="G21" s="221">
        <v>4871</v>
      </c>
      <c r="H21" s="118">
        <v>97882.12</v>
      </c>
      <c r="I21" s="133">
        <f t="shared" ref="I21:I34" si="0">H21*F$114</f>
        <v>56282.21899999999</v>
      </c>
      <c r="J21" s="118">
        <v>0</v>
      </c>
      <c r="K21" s="118">
        <f t="shared" ref="K21:K34" si="1">(H21+I21)-J21</f>
        <v>154164.33899999998</v>
      </c>
    </row>
    <row r="22" spans="1:11" ht="18" customHeight="1" x14ac:dyDescent="0.2">
      <c r="A22" s="435" t="s">
        <v>76</v>
      </c>
      <c r="B22" s="259" t="s">
        <v>6</v>
      </c>
      <c r="F22" s="221">
        <v>463</v>
      </c>
      <c r="G22" s="221">
        <v>1196</v>
      </c>
      <c r="H22" s="118">
        <v>26057.040000000001</v>
      </c>
      <c r="I22" s="133">
        <f t="shared" si="0"/>
        <v>14982.797999999999</v>
      </c>
      <c r="J22" s="118">
        <v>0</v>
      </c>
      <c r="K22" s="118">
        <f t="shared" si="1"/>
        <v>41039.838000000003</v>
      </c>
    </row>
    <row r="23" spans="1:11" ht="18" customHeight="1" x14ac:dyDescent="0.2">
      <c r="A23" s="435" t="s">
        <v>77</v>
      </c>
      <c r="B23" s="259" t="s">
        <v>43</v>
      </c>
      <c r="F23" s="221">
        <v>13897</v>
      </c>
      <c r="G23" s="221">
        <v>38369</v>
      </c>
      <c r="H23" s="118">
        <v>664039.13</v>
      </c>
      <c r="I23" s="133">
        <f t="shared" si="0"/>
        <v>381822.49974999996</v>
      </c>
      <c r="J23" s="118">
        <v>246697</v>
      </c>
      <c r="K23" s="118">
        <f t="shared" si="1"/>
        <v>799164.62974999996</v>
      </c>
    </row>
    <row r="24" spans="1:11" ht="18" customHeight="1" x14ac:dyDescent="0.2">
      <c r="A24" s="435" t="s">
        <v>78</v>
      </c>
      <c r="B24" s="259" t="s">
        <v>44</v>
      </c>
      <c r="F24" s="221">
        <v>0</v>
      </c>
      <c r="G24" s="221">
        <v>0</v>
      </c>
      <c r="H24" s="118">
        <v>0</v>
      </c>
      <c r="I24" s="133">
        <f t="shared" si="0"/>
        <v>0</v>
      </c>
      <c r="J24" s="118">
        <v>0</v>
      </c>
      <c r="K24" s="118">
        <f t="shared" si="1"/>
        <v>0</v>
      </c>
    </row>
    <row r="25" spans="1:11" ht="18" customHeight="1" x14ac:dyDescent="0.2">
      <c r="A25" s="435" t="s">
        <v>79</v>
      </c>
      <c r="B25" s="259" t="s">
        <v>5</v>
      </c>
      <c r="F25" s="221">
        <v>559</v>
      </c>
      <c r="G25" s="221">
        <v>1715</v>
      </c>
      <c r="H25" s="118">
        <v>20794.91</v>
      </c>
      <c r="I25" s="133">
        <f t="shared" si="0"/>
        <v>11957.073249999999</v>
      </c>
      <c r="J25" s="118">
        <v>0</v>
      </c>
      <c r="K25" s="118">
        <f t="shared" si="1"/>
        <v>32751.983249999997</v>
      </c>
    </row>
    <row r="26" spans="1:11" ht="18" customHeight="1" x14ac:dyDescent="0.2">
      <c r="A26" s="435" t="s">
        <v>80</v>
      </c>
      <c r="B26" s="259" t="s">
        <v>45</v>
      </c>
      <c r="F26" s="221">
        <v>731</v>
      </c>
      <c r="G26" s="221">
        <v>1765</v>
      </c>
      <c r="H26" s="118">
        <v>68893.3</v>
      </c>
      <c r="I26" s="133">
        <f t="shared" si="0"/>
        <v>39613.647499999999</v>
      </c>
      <c r="J26" s="118">
        <v>16041</v>
      </c>
      <c r="K26" s="118">
        <f t="shared" si="1"/>
        <v>92465.947500000009</v>
      </c>
    </row>
    <row r="27" spans="1:11" ht="18" customHeight="1" x14ac:dyDescent="0.2">
      <c r="A27" s="435" t="s">
        <v>81</v>
      </c>
      <c r="B27" s="259" t="s">
        <v>536</v>
      </c>
      <c r="F27" s="221">
        <v>0</v>
      </c>
      <c r="G27" s="221">
        <v>0</v>
      </c>
      <c r="H27" s="118">
        <v>75000</v>
      </c>
      <c r="I27" s="133">
        <f t="shared" si="0"/>
        <v>43125</v>
      </c>
      <c r="J27" s="118">
        <v>0</v>
      </c>
      <c r="K27" s="118">
        <f t="shared" si="1"/>
        <v>118125</v>
      </c>
    </row>
    <row r="28" spans="1:11" ht="18" customHeight="1" x14ac:dyDescent="0.2">
      <c r="A28" s="435" t="s">
        <v>82</v>
      </c>
      <c r="B28" s="259" t="s">
        <v>47</v>
      </c>
      <c r="F28" s="221">
        <v>0</v>
      </c>
      <c r="G28" s="221">
        <v>0</v>
      </c>
      <c r="H28" s="118">
        <v>0</v>
      </c>
      <c r="I28" s="133">
        <f t="shared" si="0"/>
        <v>0</v>
      </c>
      <c r="J28" s="118">
        <v>0</v>
      </c>
      <c r="K28" s="118">
        <f t="shared" si="1"/>
        <v>0</v>
      </c>
    </row>
    <row r="29" spans="1:11" ht="18" customHeight="1" x14ac:dyDescent="0.2">
      <c r="A29" s="435" t="s">
        <v>83</v>
      </c>
      <c r="B29" s="259" t="s">
        <v>48</v>
      </c>
      <c r="F29" s="221">
        <v>6778</v>
      </c>
      <c r="G29" s="221">
        <v>1577</v>
      </c>
      <c r="H29" s="118">
        <v>420995.07</v>
      </c>
      <c r="I29" s="133">
        <f t="shared" si="0"/>
        <v>242072.16524999999</v>
      </c>
      <c r="J29" s="118">
        <v>0</v>
      </c>
      <c r="K29" s="118">
        <f t="shared" si="1"/>
        <v>663067.23525000003</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24330</v>
      </c>
      <c r="G36" s="221">
        <f t="shared" si="2"/>
        <v>49493</v>
      </c>
      <c r="H36" s="221">
        <f t="shared" si="2"/>
        <v>1373661.57</v>
      </c>
      <c r="I36" s="118">
        <f t="shared" si="2"/>
        <v>789855.40275000001</v>
      </c>
      <c r="J36" s="118">
        <f t="shared" si="2"/>
        <v>262738</v>
      </c>
      <c r="K36" s="118">
        <f t="shared" si="2"/>
        <v>1900778.9727500002</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0</v>
      </c>
      <c r="G40" s="221">
        <v>0</v>
      </c>
      <c r="H40" s="118">
        <v>0</v>
      </c>
      <c r="I40" s="133">
        <v>0</v>
      </c>
      <c r="J40" s="118">
        <v>0</v>
      </c>
      <c r="K40" s="118">
        <f t="shared" ref="K40:K47" si="3">(H40+I40)-J40</f>
        <v>0</v>
      </c>
    </row>
    <row r="41" spans="1:11" ht="18" customHeight="1" x14ac:dyDescent="0.2">
      <c r="A41" s="435" t="s">
        <v>88</v>
      </c>
      <c r="B41" s="465" t="s">
        <v>50</v>
      </c>
      <c r="C41" s="466"/>
      <c r="F41" s="221">
        <v>2069</v>
      </c>
      <c r="G41" s="221">
        <v>293</v>
      </c>
      <c r="H41" s="118">
        <v>90708.04</v>
      </c>
      <c r="I41" s="133">
        <f t="shared" ref="I41:I47" si="4">H41*F$114</f>
        <v>52157.122999999992</v>
      </c>
      <c r="J41" s="118">
        <v>0</v>
      </c>
      <c r="K41" s="118">
        <f t="shared" si="3"/>
        <v>142865.163</v>
      </c>
    </row>
    <row r="42" spans="1:11" ht="18" customHeight="1" x14ac:dyDescent="0.2">
      <c r="A42" s="435" t="s">
        <v>89</v>
      </c>
      <c r="B42" s="419" t="s">
        <v>11</v>
      </c>
      <c r="F42" s="221">
        <v>15774</v>
      </c>
      <c r="G42" s="221">
        <v>100</v>
      </c>
      <c r="H42" s="118">
        <v>845332.45</v>
      </c>
      <c r="I42" s="133">
        <f t="shared" si="4"/>
        <v>486066.15874999994</v>
      </c>
      <c r="J42" s="118">
        <v>45025</v>
      </c>
      <c r="K42" s="118">
        <f t="shared" si="3"/>
        <v>1286373.6087499999</v>
      </c>
    </row>
    <row r="43" spans="1:11" ht="18" customHeight="1" x14ac:dyDescent="0.2">
      <c r="A43" s="435" t="s">
        <v>90</v>
      </c>
      <c r="B43" s="467" t="s">
        <v>10</v>
      </c>
      <c r="C43" s="468"/>
      <c r="D43" s="468"/>
      <c r="F43" s="221"/>
      <c r="G43" s="221"/>
      <c r="H43" s="118"/>
      <c r="I43" s="133">
        <f t="shared" si="4"/>
        <v>0</v>
      </c>
      <c r="J43" s="118"/>
      <c r="K43" s="118">
        <f t="shared" si="3"/>
        <v>0</v>
      </c>
    </row>
    <row r="44" spans="1:11" ht="18" customHeight="1" x14ac:dyDescent="0.2">
      <c r="A44" s="435" t="s">
        <v>91</v>
      </c>
      <c r="B44" s="456"/>
      <c r="C44" s="457"/>
      <c r="D44" s="458"/>
      <c r="F44" s="407"/>
      <c r="G44" s="407"/>
      <c r="H44" s="407"/>
      <c r="I44" s="133">
        <f t="shared" si="4"/>
        <v>0</v>
      </c>
      <c r="J44" s="407"/>
      <c r="K44" s="134">
        <f t="shared" si="3"/>
        <v>0</v>
      </c>
    </row>
    <row r="45" spans="1:11" ht="18" customHeight="1" x14ac:dyDescent="0.2">
      <c r="A45" s="435" t="s">
        <v>139</v>
      </c>
      <c r="B45" s="456"/>
      <c r="C45" s="457"/>
      <c r="D45" s="458"/>
      <c r="F45" s="221"/>
      <c r="G45" s="221"/>
      <c r="H45" s="118"/>
      <c r="I45" s="133">
        <f t="shared" si="4"/>
        <v>0</v>
      </c>
      <c r="J45" s="118"/>
      <c r="K45" s="118">
        <f t="shared" si="3"/>
        <v>0</v>
      </c>
    </row>
    <row r="46" spans="1:11" ht="18" customHeight="1" x14ac:dyDescent="0.2">
      <c r="A46" s="435" t="s">
        <v>140</v>
      </c>
      <c r="B46" s="456"/>
      <c r="C46" s="457"/>
      <c r="D46" s="458"/>
      <c r="F46" s="221"/>
      <c r="G46" s="221"/>
      <c r="H46" s="118"/>
      <c r="I46" s="133">
        <f t="shared" si="4"/>
        <v>0</v>
      </c>
      <c r="J46" s="118"/>
      <c r="K46" s="118">
        <f t="shared" si="3"/>
        <v>0</v>
      </c>
    </row>
    <row r="47" spans="1:11" ht="18" customHeight="1" x14ac:dyDescent="0.2">
      <c r="A47" s="435" t="s">
        <v>141</v>
      </c>
      <c r="B47" s="456"/>
      <c r="C47" s="457"/>
      <c r="D47" s="458"/>
      <c r="F47" s="221"/>
      <c r="G47" s="221"/>
      <c r="H47" s="118"/>
      <c r="I47" s="133">
        <f t="shared" si="4"/>
        <v>0</v>
      </c>
      <c r="J47" s="118"/>
      <c r="K47" s="118">
        <f t="shared" si="3"/>
        <v>0</v>
      </c>
    </row>
    <row r="49" spans="1:11" ht="18" customHeight="1" x14ac:dyDescent="0.2">
      <c r="A49" s="455" t="s">
        <v>142</v>
      </c>
      <c r="B49" s="421" t="s">
        <v>143</v>
      </c>
      <c r="E49" s="421" t="s">
        <v>7</v>
      </c>
      <c r="F49" s="409">
        <f t="shared" ref="F49:K49" si="5">SUM(F40:F47)</f>
        <v>17843</v>
      </c>
      <c r="G49" s="409">
        <f t="shared" si="5"/>
        <v>393</v>
      </c>
      <c r="H49" s="118">
        <f t="shared" si="5"/>
        <v>936040.49</v>
      </c>
      <c r="I49" s="118">
        <f t="shared" si="5"/>
        <v>538223.28174999997</v>
      </c>
      <c r="J49" s="118">
        <f t="shared" si="5"/>
        <v>45025</v>
      </c>
      <c r="K49" s="118">
        <f t="shared" si="5"/>
        <v>1429238.7717499998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97</v>
      </c>
      <c r="B53" s="424" t="s">
        <v>770</v>
      </c>
      <c r="C53" s="425"/>
      <c r="D53" s="415"/>
      <c r="F53" s="221">
        <v>61773</v>
      </c>
      <c r="G53" s="221">
        <v>25683</v>
      </c>
      <c r="H53" s="118">
        <v>15590814</v>
      </c>
      <c r="I53" s="133">
        <v>2529808</v>
      </c>
      <c r="J53" s="118">
        <v>11961012</v>
      </c>
      <c r="K53" s="118">
        <f t="shared" ref="K53:K61" si="6">(H53+I53)-J53</f>
        <v>6159610</v>
      </c>
    </row>
    <row r="54" spans="1:11" ht="18" customHeight="1" x14ac:dyDescent="0.2">
      <c r="A54" s="435" t="s">
        <v>95</v>
      </c>
      <c r="B54" s="420" t="s">
        <v>771</v>
      </c>
      <c r="C54" s="414"/>
      <c r="D54" s="415"/>
      <c r="F54" s="221">
        <v>64312</v>
      </c>
      <c r="G54" s="221">
        <v>52009</v>
      </c>
      <c r="H54" s="118">
        <v>9528790</v>
      </c>
      <c r="I54" s="133">
        <v>1759245</v>
      </c>
      <c r="J54" s="118">
        <v>5149881</v>
      </c>
      <c r="K54" s="118">
        <f t="shared" si="6"/>
        <v>6138154</v>
      </c>
    </row>
    <row r="55" spans="1:11" ht="18" customHeight="1" x14ac:dyDescent="0.2">
      <c r="A55" s="435" t="s">
        <v>94</v>
      </c>
      <c r="B55" s="420" t="s">
        <v>346</v>
      </c>
      <c r="C55" s="414"/>
      <c r="D55" s="415"/>
      <c r="F55" s="221">
        <v>0</v>
      </c>
      <c r="G55" s="221">
        <v>0</v>
      </c>
      <c r="H55" s="118">
        <v>5939381</v>
      </c>
      <c r="I55" s="133">
        <v>0</v>
      </c>
      <c r="J55" s="118">
        <v>739512</v>
      </c>
      <c r="K55" s="118">
        <f t="shared" si="6"/>
        <v>5199869</v>
      </c>
    </row>
    <row r="56" spans="1:11" ht="18" customHeight="1" x14ac:dyDescent="0.2">
      <c r="A56" s="435" t="s">
        <v>551</v>
      </c>
      <c r="B56" s="420" t="s">
        <v>552</v>
      </c>
      <c r="C56" s="414"/>
      <c r="D56" s="415"/>
      <c r="F56" s="221">
        <v>30139</v>
      </c>
      <c r="G56" s="221">
        <v>3395</v>
      </c>
      <c r="H56" s="118">
        <v>5819439</v>
      </c>
      <c r="I56" s="133">
        <v>1061450</v>
      </c>
      <c r="J56" s="118">
        <v>1806637</v>
      </c>
      <c r="K56" s="118">
        <f t="shared" si="6"/>
        <v>5074252</v>
      </c>
    </row>
    <row r="57" spans="1:11" ht="18" customHeight="1" x14ac:dyDescent="0.2">
      <c r="A57" s="435" t="s">
        <v>240</v>
      </c>
      <c r="B57" s="420" t="s">
        <v>553</v>
      </c>
      <c r="C57" s="414"/>
      <c r="D57" s="415"/>
      <c r="F57" s="221">
        <v>48503</v>
      </c>
      <c r="G57" s="221">
        <v>16949</v>
      </c>
      <c r="H57" s="118">
        <v>5519872</v>
      </c>
      <c r="I57" s="133">
        <v>1242261</v>
      </c>
      <c r="J57" s="118">
        <v>3113602</v>
      </c>
      <c r="K57" s="118">
        <f t="shared" si="6"/>
        <v>3648531</v>
      </c>
    </row>
    <row r="58" spans="1:11" ht="18" customHeight="1" x14ac:dyDescent="0.2">
      <c r="A58" s="435" t="s">
        <v>451</v>
      </c>
      <c r="B58" s="420" t="s">
        <v>554</v>
      </c>
      <c r="C58" s="414"/>
      <c r="D58" s="415"/>
      <c r="F58" s="221">
        <v>25477</v>
      </c>
      <c r="G58" s="221">
        <v>5688</v>
      </c>
      <c r="H58" s="118">
        <v>4283183</v>
      </c>
      <c r="I58" s="133">
        <v>888280</v>
      </c>
      <c r="J58" s="118">
        <v>1515680</v>
      </c>
      <c r="K58" s="118">
        <f t="shared" si="6"/>
        <v>3655783</v>
      </c>
    </row>
    <row r="59" spans="1:11" ht="18" customHeight="1" x14ac:dyDescent="0.2">
      <c r="A59" s="435" t="s">
        <v>99</v>
      </c>
      <c r="B59" s="420" t="s">
        <v>772</v>
      </c>
      <c r="C59" s="414"/>
      <c r="D59" s="415"/>
      <c r="F59" s="221">
        <v>41880</v>
      </c>
      <c r="G59" s="221">
        <v>1454</v>
      </c>
      <c r="H59" s="118">
        <v>2087634.65</v>
      </c>
      <c r="I59" s="133">
        <v>0</v>
      </c>
      <c r="J59" s="118">
        <v>0</v>
      </c>
      <c r="K59" s="118">
        <f t="shared" si="6"/>
        <v>2087634.65</v>
      </c>
    </row>
    <row r="60" spans="1:11" ht="18" customHeight="1" x14ac:dyDescent="0.2">
      <c r="A60" s="435" t="s">
        <v>773</v>
      </c>
      <c r="B60" s="420" t="s">
        <v>774</v>
      </c>
      <c r="C60" s="414"/>
      <c r="D60" s="415"/>
      <c r="F60" s="221">
        <v>31239</v>
      </c>
      <c r="G60" s="221">
        <v>11618</v>
      </c>
      <c r="H60" s="118">
        <v>1816013</v>
      </c>
      <c r="I60" s="133">
        <v>445987</v>
      </c>
      <c r="J60" s="118">
        <v>1327215</v>
      </c>
      <c r="K60" s="118">
        <f t="shared" si="6"/>
        <v>934785</v>
      </c>
    </row>
    <row r="61" spans="1:11" ht="18" customHeight="1" x14ac:dyDescent="0.2">
      <c r="A61" s="435" t="s">
        <v>504</v>
      </c>
      <c r="B61" s="420" t="s">
        <v>550</v>
      </c>
      <c r="C61" s="414"/>
      <c r="D61" s="415"/>
      <c r="F61" s="221">
        <v>27358</v>
      </c>
      <c r="G61" s="221">
        <v>10097</v>
      </c>
      <c r="H61" s="118">
        <v>1348048</v>
      </c>
      <c r="I61" s="133">
        <v>358133</v>
      </c>
      <c r="J61" s="118">
        <v>1121650</v>
      </c>
      <c r="K61" s="118">
        <f t="shared" si="6"/>
        <v>584531</v>
      </c>
    </row>
    <row r="62" spans="1:11" ht="18" customHeight="1" x14ac:dyDescent="0.2">
      <c r="A62" s="435"/>
      <c r="B62" s="639" t="s">
        <v>233</v>
      </c>
      <c r="C62" s="640"/>
      <c r="D62" s="640"/>
      <c r="F62" s="641">
        <v>28104</v>
      </c>
      <c r="G62" s="641">
        <v>10487</v>
      </c>
      <c r="H62" s="642">
        <v>2001807.81</v>
      </c>
      <c r="I62" s="642">
        <v>1284982.67</v>
      </c>
      <c r="J62" s="642">
        <v>1247821</v>
      </c>
      <c r="K62" s="642">
        <v>2038969.48</v>
      </c>
    </row>
    <row r="63" spans="1:11" ht="18" customHeight="1" x14ac:dyDescent="0.2">
      <c r="A63" s="435"/>
      <c r="B63" s="643"/>
      <c r="F63" s="499"/>
      <c r="G63" s="499"/>
      <c r="H63" s="644"/>
      <c r="I63" s="644"/>
      <c r="J63" s="644"/>
      <c r="K63" s="644"/>
    </row>
    <row r="64" spans="1:11" ht="18" customHeight="1" x14ac:dyDescent="0.2">
      <c r="A64" s="435" t="s">
        <v>144</v>
      </c>
      <c r="B64" s="421" t="s">
        <v>145</v>
      </c>
      <c r="E64" s="421" t="s">
        <v>7</v>
      </c>
      <c r="F64" s="221">
        <f>SUM(F53:F62)</f>
        <v>358785</v>
      </c>
      <c r="G64" s="221">
        <f t="shared" ref="G64:K64" si="7">SUM(G53:G62)</f>
        <v>137380</v>
      </c>
      <c r="H64" s="645">
        <f t="shared" si="7"/>
        <v>53934982.460000001</v>
      </c>
      <c r="I64" s="645">
        <f t="shared" si="7"/>
        <v>9570146.6699999999</v>
      </c>
      <c r="J64" s="645">
        <f t="shared" si="7"/>
        <v>27983010</v>
      </c>
      <c r="K64" s="645">
        <f t="shared" si="7"/>
        <v>35522119.129999995</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45</v>
      </c>
      <c r="G68" s="122">
        <v>0</v>
      </c>
      <c r="H68" s="122">
        <v>6550.8</v>
      </c>
      <c r="I68" s="133">
        <v>0</v>
      </c>
      <c r="J68" s="122">
        <v>0</v>
      </c>
      <c r="K68" s="118">
        <f>(H68+I68)-J68</f>
        <v>6550.8</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7.25" customHeight="1" x14ac:dyDescent="0.2">
      <c r="A74" s="455" t="s">
        <v>146</v>
      </c>
      <c r="B74" s="421" t="s">
        <v>147</v>
      </c>
      <c r="E74" s="421" t="s">
        <v>7</v>
      </c>
      <c r="F74" s="122">
        <f t="shared" ref="F74:K74" si="8">SUM(F68:F72)</f>
        <v>45</v>
      </c>
      <c r="G74" s="122">
        <f t="shared" si="8"/>
        <v>0</v>
      </c>
      <c r="H74" s="122">
        <f t="shared" si="8"/>
        <v>6550.8</v>
      </c>
      <c r="I74" s="133">
        <f t="shared" si="8"/>
        <v>0</v>
      </c>
      <c r="J74" s="122">
        <f t="shared" si="8"/>
        <v>0</v>
      </c>
      <c r="K74" s="118">
        <f t="shared" si="8"/>
        <v>6550.8</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38800</v>
      </c>
      <c r="I77" s="133">
        <v>0</v>
      </c>
      <c r="J77" s="118">
        <v>0</v>
      </c>
      <c r="K77" s="118">
        <f>(H77+I77)-J77</f>
        <v>38800</v>
      </c>
    </row>
    <row r="78" spans="1:11" ht="18" customHeight="1" x14ac:dyDescent="0.2">
      <c r="A78" s="435" t="s">
        <v>108</v>
      </c>
      <c r="B78" s="419" t="s">
        <v>55</v>
      </c>
      <c r="F78" s="221">
        <v>0</v>
      </c>
      <c r="G78" s="221">
        <v>0</v>
      </c>
      <c r="H78" s="118">
        <v>0</v>
      </c>
      <c r="I78" s="133">
        <v>0</v>
      </c>
      <c r="J78" s="118">
        <v>0</v>
      </c>
      <c r="K78" s="118">
        <f>(H78+I78)-J78</f>
        <v>0</v>
      </c>
    </row>
    <row r="79" spans="1:11" ht="18" customHeight="1" x14ac:dyDescent="0.2">
      <c r="A79" s="435" t="s">
        <v>109</v>
      </c>
      <c r="B79" s="419" t="s">
        <v>13</v>
      </c>
      <c r="F79" s="221">
        <v>1080</v>
      </c>
      <c r="G79" s="221">
        <v>1166</v>
      </c>
      <c r="H79" s="118">
        <v>102177.59</v>
      </c>
      <c r="I79" s="133">
        <v>0</v>
      </c>
      <c r="J79" s="118">
        <v>0</v>
      </c>
      <c r="K79" s="118">
        <f>(H79+I79)-J79</f>
        <v>102177.59</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9">SUM(F77:F80)</f>
        <v>1080</v>
      </c>
      <c r="G82" s="122">
        <f t="shared" si="9"/>
        <v>1166</v>
      </c>
      <c r="H82" s="118">
        <f t="shared" si="9"/>
        <v>140977.59</v>
      </c>
      <c r="I82" s="118">
        <f t="shared" si="9"/>
        <v>0</v>
      </c>
      <c r="J82" s="118">
        <f t="shared" si="9"/>
        <v>0</v>
      </c>
      <c r="K82" s="118">
        <f t="shared" si="9"/>
        <v>140977.59</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0</v>
      </c>
      <c r="G86" s="221">
        <v>0</v>
      </c>
      <c r="H86" s="118">
        <v>0</v>
      </c>
      <c r="I86" s="133">
        <f t="shared" ref="I86:I96" si="10">H86*F$114</f>
        <v>0</v>
      </c>
      <c r="J86" s="118">
        <v>0</v>
      </c>
      <c r="K86" s="118">
        <f t="shared" ref="K86:K96" si="11">(H86+I86)-J86</f>
        <v>0</v>
      </c>
    </row>
    <row r="87" spans="1:11" ht="18" customHeight="1" x14ac:dyDescent="0.2">
      <c r="A87" s="435" t="s">
        <v>114</v>
      </c>
      <c r="B87" s="419" t="s">
        <v>14</v>
      </c>
      <c r="F87" s="221">
        <v>11</v>
      </c>
      <c r="G87" s="221">
        <v>0</v>
      </c>
      <c r="H87" s="118">
        <v>1692.29</v>
      </c>
      <c r="I87" s="133">
        <f t="shared" si="10"/>
        <v>973.06674999999996</v>
      </c>
      <c r="J87" s="118">
        <v>0</v>
      </c>
      <c r="K87" s="118">
        <f t="shared" si="11"/>
        <v>2665.3567499999999</v>
      </c>
    </row>
    <row r="88" spans="1:11" ht="18" customHeight="1" x14ac:dyDescent="0.2">
      <c r="A88" s="435" t="s">
        <v>115</v>
      </c>
      <c r="B88" s="419" t="s">
        <v>116</v>
      </c>
      <c r="F88" s="221">
        <v>222</v>
      </c>
      <c r="G88" s="221">
        <v>892</v>
      </c>
      <c r="H88" s="118">
        <v>49972.1</v>
      </c>
      <c r="I88" s="133">
        <f t="shared" si="10"/>
        <v>28733.957499999997</v>
      </c>
      <c r="J88" s="118">
        <v>0</v>
      </c>
      <c r="K88" s="118">
        <f t="shared" si="11"/>
        <v>78706.057499999995</v>
      </c>
    </row>
    <row r="89" spans="1:11" ht="18" customHeight="1" x14ac:dyDescent="0.2">
      <c r="A89" s="435" t="s">
        <v>117</v>
      </c>
      <c r="B89" s="419" t="s">
        <v>58</v>
      </c>
      <c r="F89" s="221">
        <v>0</v>
      </c>
      <c r="G89" s="221">
        <v>0</v>
      </c>
      <c r="H89" s="118">
        <v>32464.32</v>
      </c>
      <c r="I89" s="133">
        <f t="shared" si="10"/>
        <v>18666.983999999997</v>
      </c>
      <c r="J89" s="118">
        <v>0</v>
      </c>
      <c r="K89" s="118">
        <f t="shared" si="11"/>
        <v>51131.303999999996</v>
      </c>
    </row>
    <row r="90" spans="1:11" ht="18" customHeight="1" x14ac:dyDescent="0.2">
      <c r="A90" s="435" t="s">
        <v>118</v>
      </c>
      <c r="B90" s="465" t="s">
        <v>59</v>
      </c>
      <c r="C90" s="466"/>
      <c r="F90" s="221">
        <v>0</v>
      </c>
      <c r="G90" s="221">
        <v>0</v>
      </c>
      <c r="H90" s="118">
        <v>0</v>
      </c>
      <c r="I90" s="133">
        <f t="shared" si="10"/>
        <v>0</v>
      </c>
      <c r="J90" s="118">
        <v>0</v>
      </c>
      <c r="K90" s="118">
        <f t="shared" si="11"/>
        <v>0</v>
      </c>
    </row>
    <row r="91" spans="1:11" ht="18" customHeight="1" x14ac:dyDescent="0.2">
      <c r="A91" s="435" t="s">
        <v>119</v>
      </c>
      <c r="B91" s="419" t="s">
        <v>60</v>
      </c>
      <c r="F91" s="221">
        <v>1149</v>
      </c>
      <c r="G91" s="221">
        <v>77</v>
      </c>
      <c r="H91" s="118">
        <v>1360958.7</v>
      </c>
      <c r="I91" s="133">
        <f t="shared" si="10"/>
        <v>782551.25249999994</v>
      </c>
      <c r="J91" s="118">
        <v>0</v>
      </c>
      <c r="K91" s="118">
        <f t="shared" si="11"/>
        <v>2143509.9524999997</v>
      </c>
    </row>
    <row r="92" spans="1:11" ht="18" customHeight="1" x14ac:dyDescent="0.2">
      <c r="A92" s="435" t="s">
        <v>120</v>
      </c>
      <c r="B92" s="419" t="s">
        <v>121</v>
      </c>
      <c r="F92" s="257"/>
      <c r="G92" s="257"/>
      <c r="H92" s="429"/>
      <c r="I92" s="133">
        <f t="shared" si="10"/>
        <v>0</v>
      </c>
      <c r="J92" s="429"/>
      <c r="K92" s="118">
        <f t="shared" si="11"/>
        <v>0</v>
      </c>
    </row>
    <row r="93" spans="1:11" ht="18" customHeight="1" x14ac:dyDescent="0.2">
      <c r="A93" s="435" t="s">
        <v>122</v>
      </c>
      <c r="B93" s="419" t="s">
        <v>123</v>
      </c>
      <c r="F93" s="221"/>
      <c r="G93" s="221"/>
      <c r="H93" s="118"/>
      <c r="I93" s="133">
        <f t="shared" si="10"/>
        <v>0</v>
      </c>
      <c r="J93" s="118"/>
      <c r="K93" s="118">
        <f t="shared" si="11"/>
        <v>0</v>
      </c>
    </row>
    <row r="94" spans="1:11" ht="18" customHeight="1" x14ac:dyDescent="0.2">
      <c r="A94" s="435" t="s">
        <v>124</v>
      </c>
      <c r="B94" s="418"/>
      <c r="C94" s="417"/>
      <c r="D94" s="412"/>
      <c r="F94" s="221"/>
      <c r="G94" s="221"/>
      <c r="H94" s="118"/>
      <c r="I94" s="133">
        <f t="shared" si="10"/>
        <v>0</v>
      </c>
      <c r="J94" s="118"/>
      <c r="K94" s="118">
        <f t="shared" si="11"/>
        <v>0</v>
      </c>
    </row>
    <row r="95" spans="1:11" ht="18" customHeight="1" x14ac:dyDescent="0.2">
      <c r="A95" s="435" t="s">
        <v>125</v>
      </c>
      <c r="B95" s="418"/>
      <c r="C95" s="417"/>
      <c r="D95" s="412"/>
      <c r="F95" s="221"/>
      <c r="G95" s="221"/>
      <c r="H95" s="118"/>
      <c r="I95" s="133">
        <f t="shared" si="10"/>
        <v>0</v>
      </c>
      <c r="J95" s="118"/>
      <c r="K95" s="118">
        <f t="shared" si="11"/>
        <v>0</v>
      </c>
    </row>
    <row r="96" spans="1:11" ht="18" customHeight="1" x14ac:dyDescent="0.2">
      <c r="A96" s="435" t="s">
        <v>126</v>
      </c>
      <c r="B96" s="418"/>
      <c r="C96" s="417"/>
      <c r="D96" s="412"/>
      <c r="F96" s="221"/>
      <c r="G96" s="221"/>
      <c r="H96" s="118"/>
      <c r="I96" s="133">
        <f t="shared" si="10"/>
        <v>0</v>
      </c>
      <c r="J96" s="118"/>
      <c r="K96" s="118">
        <f t="shared" si="11"/>
        <v>0</v>
      </c>
    </row>
    <row r="97" spans="1:11" ht="18" customHeight="1" x14ac:dyDescent="0.2">
      <c r="A97" s="435"/>
      <c r="B97" s="419"/>
    </row>
    <row r="98" spans="1:11" ht="18" customHeight="1" x14ac:dyDescent="0.2">
      <c r="A98" s="455" t="s">
        <v>150</v>
      </c>
      <c r="B98" s="421" t="s">
        <v>151</v>
      </c>
      <c r="E98" s="421" t="s">
        <v>7</v>
      </c>
      <c r="F98" s="221">
        <f t="shared" ref="F98:K98" si="12">SUM(F86:F96)</f>
        <v>1382</v>
      </c>
      <c r="G98" s="221">
        <f t="shared" si="12"/>
        <v>969</v>
      </c>
      <c r="H98" s="221">
        <f t="shared" si="12"/>
        <v>1445087.41</v>
      </c>
      <c r="I98" s="221">
        <f t="shared" si="12"/>
        <v>830925.2607499999</v>
      </c>
      <c r="J98" s="221">
        <f t="shared" si="12"/>
        <v>0</v>
      </c>
      <c r="K98" s="221">
        <f t="shared" si="12"/>
        <v>2276012.6707499996</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339</v>
      </c>
      <c r="G102" s="221">
        <v>120</v>
      </c>
      <c r="H102" s="118">
        <v>29414.240000000002</v>
      </c>
      <c r="I102" s="133">
        <f>H102*F$114</f>
        <v>16913.187999999998</v>
      </c>
      <c r="J102" s="118">
        <v>0</v>
      </c>
      <c r="K102" s="118">
        <f>(H102+I102)-J102</f>
        <v>46327.428</v>
      </c>
    </row>
    <row r="103" spans="1:11" ht="18" customHeight="1" x14ac:dyDescent="0.2">
      <c r="A103" s="435" t="s">
        <v>132</v>
      </c>
      <c r="B103" s="465" t="s">
        <v>62</v>
      </c>
      <c r="C103" s="465"/>
      <c r="F103" s="221">
        <v>10</v>
      </c>
      <c r="G103" s="221">
        <v>0</v>
      </c>
      <c r="H103" s="118">
        <v>1530.36</v>
      </c>
      <c r="I103" s="133">
        <f>H103*F$114</f>
        <v>879.95699999999988</v>
      </c>
      <c r="J103" s="118">
        <v>0</v>
      </c>
      <c r="K103" s="118">
        <f>(H103+I103)-J103</f>
        <v>2410.317</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3">SUM(F102:F106)</f>
        <v>349</v>
      </c>
      <c r="G108" s="221">
        <f t="shared" si="13"/>
        <v>120</v>
      </c>
      <c r="H108" s="118">
        <f t="shared" si="13"/>
        <v>30944.600000000002</v>
      </c>
      <c r="I108" s="118">
        <f t="shared" si="13"/>
        <v>17793.144999999997</v>
      </c>
      <c r="J108" s="118">
        <f t="shared" si="13"/>
        <v>0</v>
      </c>
      <c r="K108" s="118">
        <f t="shared" si="13"/>
        <v>48737.745000000003</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7604900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0.57499999999999996</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431654007</v>
      </c>
    </row>
    <row r="118" spans="1:6" ht="18" customHeight="1" x14ac:dyDescent="0.2">
      <c r="A118" s="435" t="s">
        <v>173</v>
      </c>
      <c r="B118" s="259" t="s">
        <v>18</v>
      </c>
      <c r="F118" s="118">
        <v>2604570</v>
      </c>
    </row>
    <row r="119" spans="1:6" ht="18" customHeight="1" x14ac:dyDescent="0.2">
      <c r="A119" s="435" t="s">
        <v>174</v>
      </c>
      <c r="B119" s="421" t="s">
        <v>19</v>
      </c>
      <c r="F119" s="118">
        <f>SUM(F117:F118)</f>
        <v>434258577</v>
      </c>
    </row>
    <row r="120" spans="1:6" ht="18" customHeight="1" x14ac:dyDescent="0.2">
      <c r="A120" s="435"/>
      <c r="B120" s="421"/>
    </row>
    <row r="121" spans="1:6" ht="18" customHeight="1" x14ac:dyDescent="0.2">
      <c r="A121" s="435" t="s">
        <v>167</v>
      </c>
      <c r="B121" s="421" t="s">
        <v>36</v>
      </c>
      <c r="F121" s="118">
        <v>427360744</v>
      </c>
    </row>
    <row r="122" spans="1:6" ht="18" customHeight="1" x14ac:dyDescent="0.2">
      <c r="A122" s="435"/>
    </row>
    <row r="123" spans="1:6" ht="18" customHeight="1" x14ac:dyDescent="0.2">
      <c r="A123" s="435" t="s">
        <v>175</v>
      </c>
      <c r="B123" s="421" t="s">
        <v>20</v>
      </c>
      <c r="F123" s="118">
        <v>6897833</v>
      </c>
    </row>
    <row r="124" spans="1:6" ht="18" customHeight="1" x14ac:dyDescent="0.2">
      <c r="A124" s="435"/>
    </row>
    <row r="125" spans="1:6" ht="18" customHeight="1" x14ac:dyDescent="0.2">
      <c r="A125" s="435" t="s">
        <v>176</v>
      </c>
      <c r="B125" s="421" t="s">
        <v>21</v>
      </c>
      <c r="F125" s="118">
        <v>38206580</v>
      </c>
    </row>
    <row r="126" spans="1:6" ht="18" customHeight="1" x14ac:dyDescent="0.2">
      <c r="A126" s="435"/>
    </row>
    <row r="127" spans="1:6" ht="18" customHeight="1" x14ac:dyDescent="0.2">
      <c r="A127" s="435" t="s">
        <v>177</v>
      </c>
      <c r="B127" s="421" t="s">
        <v>22</v>
      </c>
      <c r="F127" s="118">
        <v>45104413</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4">SUM(F131:F135)</f>
        <v>0</v>
      </c>
      <c r="G137" s="221">
        <f t="shared" si="14"/>
        <v>0</v>
      </c>
      <c r="H137" s="118">
        <f t="shared" si="14"/>
        <v>0</v>
      </c>
      <c r="I137" s="118">
        <f t="shared" si="14"/>
        <v>0</v>
      </c>
      <c r="J137" s="118">
        <f t="shared" si="14"/>
        <v>0</v>
      </c>
      <c r="K137" s="118">
        <f t="shared" si="14"/>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5">F36</f>
        <v>24330</v>
      </c>
      <c r="G141" s="422">
        <f t="shared" si="15"/>
        <v>49493</v>
      </c>
      <c r="H141" s="422">
        <f t="shared" si="15"/>
        <v>1373661.57</v>
      </c>
      <c r="I141" s="422">
        <f t="shared" si="15"/>
        <v>789855.40275000001</v>
      </c>
      <c r="J141" s="422">
        <f t="shared" si="15"/>
        <v>262738</v>
      </c>
      <c r="K141" s="422">
        <f t="shared" si="15"/>
        <v>1900778.9727500002</v>
      </c>
    </row>
    <row r="142" spans="1:11" ht="18" customHeight="1" x14ac:dyDescent="0.2">
      <c r="A142" s="435" t="s">
        <v>142</v>
      </c>
      <c r="B142" s="421" t="s">
        <v>65</v>
      </c>
      <c r="F142" s="422">
        <f t="shared" ref="F142:K142" si="16">F49</f>
        <v>17843</v>
      </c>
      <c r="G142" s="422">
        <f t="shared" si="16"/>
        <v>393</v>
      </c>
      <c r="H142" s="422">
        <f t="shared" si="16"/>
        <v>936040.49</v>
      </c>
      <c r="I142" s="422">
        <f t="shared" si="16"/>
        <v>538223.28174999997</v>
      </c>
      <c r="J142" s="422">
        <f t="shared" si="16"/>
        <v>45025</v>
      </c>
      <c r="K142" s="422">
        <f t="shared" si="16"/>
        <v>1429238.7717499998</v>
      </c>
    </row>
    <row r="143" spans="1:11" ht="18" customHeight="1" x14ac:dyDescent="0.2">
      <c r="A143" s="435" t="s">
        <v>144</v>
      </c>
      <c r="B143" s="421" t="s">
        <v>66</v>
      </c>
      <c r="F143" s="422">
        <f t="shared" ref="F143:K143" si="17">F64</f>
        <v>358785</v>
      </c>
      <c r="G143" s="422">
        <f t="shared" si="17"/>
        <v>137380</v>
      </c>
      <c r="H143" s="422">
        <f t="shared" si="17"/>
        <v>53934982.460000001</v>
      </c>
      <c r="I143" s="422">
        <f t="shared" si="17"/>
        <v>9570146.6699999999</v>
      </c>
      <c r="J143" s="422">
        <f t="shared" si="17"/>
        <v>27983010</v>
      </c>
      <c r="K143" s="422">
        <f t="shared" si="17"/>
        <v>35522119.129999995</v>
      </c>
    </row>
    <row r="144" spans="1:11" ht="18" customHeight="1" x14ac:dyDescent="0.2">
      <c r="A144" s="435" t="s">
        <v>146</v>
      </c>
      <c r="B144" s="421" t="s">
        <v>67</v>
      </c>
      <c r="F144" s="422">
        <f t="shared" ref="F144:K144" si="18">F74</f>
        <v>45</v>
      </c>
      <c r="G144" s="422">
        <f t="shared" si="18"/>
        <v>0</v>
      </c>
      <c r="H144" s="422">
        <f t="shared" si="18"/>
        <v>6550.8</v>
      </c>
      <c r="I144" s="422">
        <f t="shared" si="18"/>
        <v>0</v>
      </c>
      <c r="J144" s="422">
        <f t="shared" si="18"/>
        <v>0</v>
      </c>
      <c r="K144" s="422">
        <f t="shared" si="18"/>
        <v>6550.8</v>
      </c>
    </row>
    <row r="145" spans="1:11" ht="18" customHeight="1" x14ac:dyDescent="0.2">
      <c r="A145" s="435" t="s">
        <v>148</v>
      </c>
      <c r="B145" s="421" t="s">
        <v>68</v>
      </c>
      <c r="F145" s="422">
        <f t="shared" ref="F145:K145" si="19">F82</f>
        <v>1080</v>
      </c>
      <c r="G145" s="422">
        <f t="shared" si="19"/>
        <v>1166</v>
      </c>
      <c r="H145" s="422">
        <f t="shared" si="19"/>
        <v>140977.59</v>
      </c>
      <c r="I145" s="422">
        <f t="shared" si="19"/>
        <v>0</v>
      </c>
      <c r="J145" s="422">
        <f t="shared" si="19"/>
        <v>0</v>
      </c>
      <c r="K145" s="422">
        <f t="shared" si="19"/>
        <v>140977.59</v>
      </c>
    </row>
    <row r="146" spans="1:11" ht="18" customHeight="1" x14ac:dyDescent="0.2">
      <c r="A146" s="435" t="s">
        <v>150</v>
      </c>
      <c r="B146" s="421" t="s">
        <v>69</v>
      </c>
      <c r="F146" s="422">
        <f t="shared" ref="F146:K146" si="20">F98</f>
        <v>1382</v>
      </c>
      <c r="G146" s="422">
        <f t="shared" si="20"/>
        <v>969</v>
      </c>
      <c r="H146" s="422">
        <f t="shared" si="20"/>
        <v>1445087.41</v>
      </c>
      <c r="I146" s="422">
        <f t="shared" si="20"/>
        <v>830925.2607499999</v>
      </c>
      <c r="J146" s="422">
        <f t="shared" si="20"/>
        <v>0</v>
      </c>
      <c r="K146" s="422">
        <f t="shared" si="20"/>
        <v>2276012.6707499996</v>
      </c>
    </row>
    <row r="147" spans="1:11" ht="18" customHeight="1" x14ac:dyDescent="0.2">
      <c r="A147" s="435" t="s">
        <v>153</v>
      </c>
      <c r="B147" s="421" t="s">
        <v>61</v>
      </c>
      <c r="F147" s="221">
        <f t="shared" ref="F147:K147" si="21">F108</f>
        <v>349</v>
      </c>
      <c r="G147" s="221">
        <f t="shared" si="21"/>
        <v>120</v>
      </c>
      <c r="H147" s="221">
        <f t="shared" si="21"/>
        <v>30944.600000000002</v>
      </c>
      <c r="I147" s="221">
        <f t="shared" si="21"/>
        <v>17793.144999999997</v>
      </c>
      <c r="J147" s="221">
        <f t="shared" si="21"/>
        <v>0</v>
      </c>
      <c r="K147" s="221">
        <f t="shared" si="21"/>
        <v>48737.745000000003</v>
      </c>
    </row>
    <row r="148" spans="1:11" ht="18" customHeight="1" x14ac:dyDescent="0.2">
      <c r="A148" s="435" t="s">
        <v>155</v>
      </c>
      <c r="B148" s="421" t="s">
        <v>70</v>
      </c>
      <c r="F148" s="485" t="s">
        <v>73</v>
      </c>
      <c r="G148" s="485" t="s">
        <v>73</v>
      </c>
      <c r="H148" s="486" t="s">
        <v>73</v>
      </c>
      <c r="I148" s="486" t="s">
        <v>73</v>
      </c>
      <c r="J148" s="486" t="s">
        <v>73</v>
      </c>
      <c r="K148" s="423">
        <f>F111</f>
        <v>7604900</v>
      </c>
    </row>
    <row r="149" spans="1:11" ht="18" customHeight="1" x14ac:dyDescent="0.2">
      <c r="A149" s="435" t="s">
        <v>163</v>
      </c>
      <c r="B149" s="421" t="s">
        <v>71</v>
      </c>
      <c r="F149" s="221">
        <f t="shared" ref="F149:K149" si="22">F137</f>
        <v>0</v>
      </c>
      <c r="G149" s="221">
        <f t="shared" si="22"/>
        <v>0</v>
      </c>
      <c r="H149" s="221">
        <f t="shared" si="22"/>
        <v>0</v>
      </c>
      <c r="I149" s="221">
        <f t="shared" si="22"/>
        <v>0</v>
      </c>
      <c r="J149" s="221">
        <f t="shared" si="22"/>
        <v>0</v>
      </c>
      <c r="K149" s="221">
        <f t="shared" si="22"/>
        <v>0</v>
      </c>
    </row>
    <row r="150" spans="1:11" ht="18" customHeight="1" x14ac:dyDescent="0.2">
      <c r="A150" s="435" t="s">
        <v>185</v>
      </c>
      <c r="B150" s="421" t="s">
        <v>186</v>
      </c>
      <c r="F150" s="485" t="s">
        <v>73</v>
      </c>
      <c r="G150" s="485" t="s">
        <v>73</v>
      </c>
      <c r="H150" s="221">
        <f>H18</f>
        <v>9651374</v>
      </c>
      <c r="I150" s="221">
        <f>I18</f>
        <v>0</v>
      </c>
      <c r="J150" s="221">
        <f>J18</f>
        <v>8157315</v>
      </c>
      <c r="K150" s="221">
        <f>K18</f>
        <v>1494059</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3">SUM(F141:F150)</f>
        <v>403814</v>
      </c>
      <c r="G152" s="487">
        <f t="shared" si="23"/>
        <v>189521</v>
      </c>
      <c r="H152" s="487">
        <f t="shared" si="23"/>
        <v>67519618.920000002</v>
      </c>
      <c r="I152" s="487">
        <f t="shared" si="23"/>
        <v>11746943.760249998</v>
      </c>
      <c r="J152" s="487">
        <f t="shared" si="23"/>
        <v>36448088</v>
      </c>
      <c r="K152" s="487">
        <f t="shared" si="23"/>
        <v>50423374.680249989</v>
      </c>
    </row>
    <row r="154" spans="1:11" ht="18" customHeight="1" x14ac:dyDescent="0.2">
      <c r="A154" s="455" t="s">
        <v>168</v>
      </c>
      <c r="B154" s="421" t="s">
        <v>28</v>
      </c>
      <c r="F154" s="140">
        <f>K152/F121</f>
        <v>0.11798784841185597</v>
      </c>
    </row>
    <row r="155" spans="1:11" ht="18" customHeight="1" x14ac:dyDescent="0.2">
      <c r="A155" s="455" t="s">
        <v>169</v>
      </c>
      <c r="B155" s="421" t="s">
        <v>72</v>
      </c>
      <c r="F155" s="140">
        <f>K152/F127</f>
        <v>1.1179255271596149</v>
      </c>
      <c r="G155" s="421"/>
    </row>
    <row r="156" spans="1:11" ht="18" customHeight="1" x14ac:dyDescent="0.2">
      <c r="G156" s="421"/>
    </row>
  </sheetData>
  <sheetProtection algorithmName="SHA-512" hashValue="+yXxjjNYuLHZzRxT9DvJBapo9zx+CUVABoLJFuKUKt/pD13eJkNAjUBshVr5ZG2BTmCLht30nrlV9s9zmYqlyg==" saltValue="w0OnOseMwaF59dH+bEWcTw==" spinCount="100000" sheet="1" objects="1" scenarios="1"/>
  <mergeCells count="28">
    <mergeCell ref="D2:H2"/>
    <mergeCell ref="B45:D45"/>
    <mergeCell ref="B46:D46"/>
    <mergeCell ref="B47:D47"/>
    <mergeCell ref="B34:D34"/>
    <mergeCell ref="C11:G11"/>
    <mergeCell ref="B41:C41"/>
    <mergeCell ref="B44:D44"/>
    <mergeCell ref="B13:H13"/>
    <mergeCell ref="C5:G5"/>
    <mergeCell ref="C6:G6"/>
    <mergeCell ref="C7:G7"/>
    <mergeCell ref="B31:D31"/>
    <mergeCell ref="C9:G9"/>
    <mergeCell ref="B90:C90"/>
    <mergeCell ref="B94:D94"/>
    <mergeCell ref="C10:G10"/>
    <mergeCell ref="B30:D30"/>
    <mergeCell ref="B52:C52"/>
    <mergeCell ref="B135:D135"/>
    <mergeCell ref="B95:D95"/>
    <mergeCell ref="B96:D96"/>
    <mergeCell ref="B103:C103"/>
    <mergeCell ref="B104:D104"/>
    <mergeCell ref="B105:D105"/>
    <mergeCell ref="B106:D106"/>
    <mergeCell ref="B133:D133"/>
    <mergeCell ref="B134:D134"/>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64" max="16383" man="1"/>
    <brk id="99" max="16383" man="1"/>
    <brk id="1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pageSetUpPr fitToPage="1"/>
  </sheetPr>
  <dimension ref="A1:L156"/>
  <sheetViews>
    <sheetView showGridLines="0" zoomScale="80" zoomScaleNormal="80" zoomScaleSheetLayoutView="85" workbookViewId="0">
      <selection activeCell="B4" sqref="B4"/>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649" customWidth="1"/>
    <col min="9" max="9" width="21.140625" style="648" customWidth="1"/>
    <col min="10" max="10" width="19.85546875" style="648" customWidth="1"/>
    <col min="11" max="11" width="17.5703125" style="649" customWidth="1"/>
    <col min="12" max="12" width="12.28515625" style="259" bestFit="1" customWidth="1"/>
    <col min="13" max="16384" width="9.140625" style="259"/>
  </cols>
  <sheetData>
    <row r="1" spans="1:11" ht="18" customHeight="1" x14ac:dyDescent="0.2">
      <c r="C1" s="431"/>
      <c r="D1" s="432"/>
      <c r="E1" s="431"/>
      <c r="F1" s="431"/>
      <c r="G1" s="431"/>
      <c r="H1" s="646"/>
      <c r="I1" s="647"/>
      <c r="J1" s="647"/>
      <c r="K1" s="646"/>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227</v>
      </c>
      <c r="D5" s="437"/>
      <c r="E5" s="437"/>
      <c r="F5" s="437"/>
      <c r="G5" s="438"/>
    </row>
    <row r="6" spans="1:11" ht="18" customHeight="1" x14ac:dyDescent="0.2">
      <c r="B6" s="435" t="s">
        <v>3</v>
      </c>
      <c r="C6" s="439" t="s">
        <v>370</v>
      </c>
      <c r="D6" s="440"/>
      <c r="E6" s="440"/>
      <c r="F6" s="440"/>
      <c r="G6" s="441"/>
    </row>
    <row r="7" spans="1:11" ht="18" customHeight="1" x14ac:dyDescent="0.2">
      <c r="B7" s="435" t="s">
        <v>4</v>
      </c>
      <c r="C7" s="398">
        <v>1786</v>
      </c>
      <c r="D7" s="399"/>
      <c r="E7" s="399"/>
      <c r="F7" s="399"/>
      <c r="G7" s="400"/>
    </row>
    <row r="9" spans="1:11" ht="18" customHeight="1" x14ac:dyDescent="0.2">
      <c r="B9" s="435" t="s">
        <v>1</v>
      </c>
      <c r="C9" s="436" t="s">
        <v>371</v>
      </c>
      <c r="D9" s="437"/>
      <c r="E9" s="437"/>
      <c r="F9" s="437"/>
      <c r="G9" s="438"/>
    </row>
    <row r="10" spans="1:11" ht="18" customHeight="1" x14ac:dyDescent="0.2">
      <c r="B10" s="435" t="s">
        <v>2</v>
      </c>
      <c r="C10" s="445" t="s">
        <v>372</v>
      </c>
      <c r="D10" s="446"/>
      <c r="E10" s="446"/>
      <c r="F10" s="446"/>
      <c r="G10" s="447"/>
    </row>
    <row r="11" spans="1:11" ht="18" customHeight="1" x14ac:dyDescent="0.2">
      <c r="B11" s="435" t="s">
        <v>32</v>
      </c>
      <c r="C11" s="436" t="s">
        <v>555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647"/>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650" t="s">
        <v>29</v>
      </c>
      <c r="I16" s="651" t="s">
        <v>30</v>
      </c>
      <c r="J16" s="651" t="s">
        <v>33</v>
      </c>
      <c r="K16" s="650" t="s">
        <v>34</v>
      </c>
    </row>
    <row r="17" spans="1:11" ht="18" customHeight="1" x14ac:dyDescent="0.2">
      <c r="A17" s="455" t="s">
        <v>184</v>
      </c>
      <c r="B17" s="421" t="s">
        <v>182</v>
      </c>
    </row>
    <row r="18" spans="1:11" ht="18" customHeight="1" x14ac:dyDescent="0.2">
      <c r="A18" s="435" t="s">
        <v>185</v>
      </c>
      <c r="B18" s="419" t="s">
        <v>183</v>
      </c>
      <c r="F18" s="221" t="s">
        <v>73</v>
      </c>
      <c r="G18" s="221" t="s">
        <v>73</v>
      </c>
      <c r="H18" s="276">
        <v>6905823.4400000004</v>
      </c>
      <c r="I18" s="254">
        <v>0</v>
      </c>
      <c r="J18" s="253">
        <v>5836783.5300000003</v>
      </c>
      <c r="K18" s="277">
        <f>(H18+I18)-J18</f>
        <v>1069039.9100000001</v>
      </c>
    </row>
    <row r="19" spans="1:11" ht="45" customHeight="1" x14ac:dyDescent="0.2">
      <c r="A19" s="432" t="s">
        <v>8</v>
      </c>
      <c r="B19" s="431"/>
      <c r="C19" s="431"/>
      <c r="D19" s="431"/>
      <c r="E19" s="431"/>
      <c r="F19" s="454" t="s">
        <v>9</v>
      </c>
      <c r="G19" s="454" t="s">
        <v>37</v>
      </c>
      <c r="H19" s="650" t="s">
        <v>29</v>
      </c>
      <c r="I19" s="651" t="s">
        <v>30</v>
      </c>
      <c r="J19" s="651" t="s">
        <v>33</v>
      </c>
      <c r="K19" s="650" t="s">
        <v>34</v>
      </c>
    </row>
    <row r="20" spans="1:11" ht="18" customHeight="1" x14ac:dyDescent="0.2">
      <c r="A20" s="455" t="s">
        <v>74</v>
      </c>
      <c r="B20" s="421" t="s">
        <v>41</v>
      </c>
    </row>
    <row r="21" spans="1:11" ht="18" customHeight="1" x14ac:dyDescent="0.2">
      <c r="A21" s="435" t="s">
        <v>75</v>
      </c>
      <c r="B21" s="419" t="s">
        <v>42</v>
      </c>
      <c r="F21" s="221"/>
      <c r="G21" s="221"/>
      <c r="H21" s="276">
        <v>458378</v>
      </c>
      <c r="I21" s="652">
        <f t="shared" ref="I21:I27" si="0">H21*F$114</f>
        <v>253483.03400000001</v>
      </c>
      <c r="J21" s="280">
        <v>109640</v>
      </c>
      <c r="K21" s="277">
        <f t="shared" ref="K21:K34" si="1">(H21+I21)-J21</f>
        <v>602221.03399999999</v>
      </c>
    </row>
    <row r="22" spans="1:11" ht="18" customHeight="1" x14ac:dyDescent="0.2">
      <c r="A22" s="435" t="s">
        <v>76</v>
      </c>
      <c r="B22" s="259" t="s">
        <v>6</v>
      </c>
      <c r="F22" s="221"/>
      <c r="G22" s="221"/>
      <c r="H22" s="276">
        <v>48906</v>
      </c>
      <c r="I22" s="652">
        <f t="shared" si="0"/>
        <v>27045.018000000004</v>
      </c>
      <c r="J22" s="280">
        <v>2259</v>
      </c>
      <c r="K22" s="277">
        <f t="shared" si="1"/>
        <v>73692.018000000011</v>
      </c>
    </row>
    <row r="23" spans="1:11" ht="18" customHeight="1" x14ac:dyDescent="0.2">
      <c r="A23" s="435" t="s">
        <v>77</v>
      </c>
      <c r="B23" s="259" t="s">
        <v>43</v>
      </c>
      <c r="F23" s="221"/>
      <c r="G23" s="221"/>
      <c r="H23" s="276">
        <v>27927</v>
      </c>
      <c r="I23" s="652">
        <f t="shared" si="0"/>
        <v>15443.631000000001</v>
      </c>
      <c r="J23" s="280">
        <v>3012</v>
      </c>
      <c r="K23" s="277">
        <f t="shared" si="1"/>
        <v>40358.631000000001</v>
      </c>
    </row>
    <row r="24" spans="1:11" ht="18" customHeight="1" x14ac:dyDescent="0.2">
      <c r="A24" s="435" t="s">
        <v>78</v>
      </c>
      <c r="B24" s="259" t="s">
        <v>44</v>
      </c>
      <c r="F24" s="221"/>
      <c r="G24" s="221"/>
      <c r="H24" s="276">
        <v>344621</v>
      </c>
      <c r="I24" s="652">
        <f t="shared" si="0"/>
        <v>190575.41300000003</v>
      </c>
      <c r="J24" s="280">
        <v>108134</v>
      </c>
      <c r="K24" s="277">
        <f t="shared" si="1"/>
        <v>427062.41300000006</v>
      </c>
    </row>
    <row r="25" spans="1:11" ht="18" customHeight="1" x14ac:dyDescent="0.2">
      <c r="A25" s="435" t="s">
        <v>79</v>
      </c>
      <c r="B25" s="259" t="s">
        <v>5</v>
      </c>
      <c r="F25" s="221"/>
      <c r="G25" s="221"/>
      <c r="H25" s="276">
        <v>958</v>
      </c>
      <c r="I25" s="652">
        <f t="shared" si="0"/>
        <v>529.774</v>
      </c>
      <c r="J25" s="280"/>
      <c r="K25" s="277">
        <f t="shared" si="1"/>
        <v>1487.7739999999999</v>
      </c>
    </row>
    <row r="26" spans="1:11" ht="18" customHeight="1" x14ac:dyDescent="0.2">
      <c r="A26" s="435" t="s">
        <v>80</v>
      </c>
      <c r="B26" s="259" t="s">
        <v>45</v>
      </c>
      <c r="F26" s="221"/>
      <c r="G26" s="221"/>
      <c r="H26" s="276">
        <v>6695</v>
      </c>
      <c r="I26" s="652">
        <f t="shared" si="0"/>
        <v>3702.3350000000005</v>
      </c>
      <c r="J26" s="280">
        <v>753</v>
      </c>
      <c r="K26" s="277">
        <f t="shared" si="1"/>
        <v>9644.3350000000009</v>
      </c>
    </row>
    <row r="27" spans="1:11" ht="18" customHeight="1" x14ac:dyDescent="0.2">
      <c r="A27" s="435" t="s">
        <v>81</v>
      </c>
      <c r="B27" s="259" t="s">
        <v>536</v>
      </c>
      <c r="F27" s="221"/>
      <c r="G27" s="221"/>
      <c r="H27" s="276">
        <v>353778</v>
      </c>
      <c r="I27" s="652">
        <f t="shared" si="0"/>
        <v>195639.23400000003</v>
      </c>
      <c r="J27" s="280">
        <v>2109</v>
      </c>
      <c r="K27" s="277">
        <f t="shared" si="1"/>
        <v>547308.23400000005</v>
      </c>
    </row>
    <row r="28" spans="1:11" ht="18" customHeight="1" x14ac:dyDescent="0.2">
      <c r="A28" s="435" t="s">
        <v>82</v>
      </c>
      <c r="B28" s="259" t="s">
        <v>47</v>
      </c>
      <c r="F28" s="221"/>
      <c r="G28" s="221"/>
      <c r="H28" s="276"/>
      <c r="I28" s="652">
        <f t="shared" ref="I28" si="2">H28*0.553</f>
        <v>0</v>
      </c>
      <c r="J28" s="280"/>
      <c r="K28" s="277">
        <f t="shared" si="1"/>
        <v>0</v>
      </c>
    </row>
    <row r="29" spans="1:11" ht="18" customHeight="1" x14ac:dyDescent="0.2">
      <c r="A29" s="435" t="s">
        <v>83</v>
      </c>
      <c r="B29" s="259" t="s">
        <v>48</v>
      </c>
      <c r="F29" s="221"/>
      <c r="G29" s="221"/>
      <c r="H29" s="276">
        <v>1387463</v>
      </c>
      <c r="I29" s="652">
        <f t="shared" ref="I29:I34" si="3">H29*F$114</f>
        <v>767267.03900000011</v>
      </c>
      <c r="J29" s="280"/>
      <c r="K29" s="277">
        <f t="shared" si="1"/>
        <v>2154730.0389999999</v>
      </c>
    </row>
    <row r="30" spans="1:11" ht="18" customHeight="1" x14ac:dyDescent="0.2">
      <c r="A30" s="435" t="s">
        <v>84</v>
      </c>
      <c r="B30" s="456"/>
      <c r="C30" s="457"/>
      <c r="D30" s="458"/>
      <c r="F30" s="221"/>
      <c r="G30" s="221"/>
      <c r="H30" s="276"/>
      <c r="I30" s="652">
        <f t="shared" si="3"/>
        <v>0</v>
      </c>
      <c r="J30" s="280"/>
      <c r="K30" s="277">
        <f t="shared" si="1"/>
        <v>0</v>
      </c>
    </row>
    <row r="31" spans="1:11" ht="18" customHeight="1" x14ac:dyDescent="0.2">
      <c r="A31" s="435" t="s">
        <v>133</v>
      </c>
      <c r="B31" s="456"/>
      <c r="C31" s="457"/>
      <c r="D31" s="458"/>
      <c r="F31" s="221"/>
      <c r="G31" s="221"/>
      <c r="H31" s="276"/>
      <c r="I31" s="652">
        <f t="shared" si="3"/>
        <v>0</v>
      </c>
      <c r="J31" s="280"/>
      <c r="K31" s="277">
        <f t="shared" si="1"/>
        <v>0</v>
      </c>
    </row>
    <row r="32" spans="1:11" ht="18" customHeight="1" x14ac:dyDescent="0.2">
      <c r="A32" s="435" t="s">
        <v>134</v>
      </c>
      <c r="B32" s="459"/>
      <c r="C32" s="460"/>
      <c r="D32" s="461"/>
      <c r="F32" s="221"/>
      <c r="G32" s="255" t="s">
        <v>85</v>
      </c>
      <c r="H32" s="276"/>
      <c r="I32" s="652">
        <f t="shared" si="3"/>
        <v>0</v>
      </c>
      <c r="J32" s="280"/>
      <c r="K32" s="277">
        <f t="shared" si="1"/>
        <v>0</v>
      </c>
    </row>
    <row r="33" spans="1:11" ht="18" customHeight="1" x14ac:dyDescent="0.2">
      <c r="A33" s="435" t="s">
        <v>135</v>
      </c>
      <c r="B33" s="459"/>
      <c r="C33" s="460"/>
      <c r="D33" s="461"/>
      <c r="F33" s="221"/>
      <c r="G33" s="255" t="s">
        <v>85</v>
      </c>
      <c r="H33" s="276"/>
      <c r="I33" s="652">
        <f t="shared" si="3"/>
        <v>0</v>
      </c>
      <c r="J33" s="280"/>
      <c r="K33" s="277">
        <f t="shared" si="1"/>
        <v>0</v>
      </c>
    </row>
    <row r="34" spans="1:11" ht="18" customHeight="1" x14ac:dyDescent="0.2">
      <c r="A34" s="435" t="s">
        <v>136</v>
      </c>
      <c r="B34" s="456"/>
      <c r="C34" s="457"/>
      <c r="D34" s="458"/>
      <c r="F34" s="221"/>
      <c r="G34" s="255" t="s">
        <v>85</v>
      </c>
      <c r="H34" s="276"/>
      <c r="I34" s="652">
        <f t="shared" si="3"/>
        <v>0</v>
      </c>
      <c r="J34" s="280"/>
      <c r="K34" s="277">
        <f t="shared" si="1"/>
        <v>0</v>
      </c>
    </row>
    <row r="35" spans="1:11" ht="18" customHeight="1" x14ac:dyDescent="0.2">
      <c r="K35" s="653"/>
    </row>
    <row r="36" spans="1:11" ht="18" customHeight="1" x14ac:dyDescent="0.2">
      <c r="A36" s="455" t="s">
        <v>137</v>
      </c>
      <c r="B36" s="421" t="s">
        <v>138</v>
      </c>
      <c r="E36" s="421" t="s">
        <v>7</v>
      </c>
      <c r="F36" s="221">
        <f t="shared" ref="F36:K36" si="4">SUM(F21:F34)</f>
        <v>0</v>
      </c>
      <c r="G36" s="221">
        <f t="shared" si="4"/>
        <v>0</v>
      </c>
      <c r="H36" s="276">
        <f t="shared" si="4"/>
        <v>2628726</v>
      </c>
      <c r="I36" s="253">
        <f t="shared" si="4"/>
        <v>1453685.4780000001</v>
      </c>
      <c r="J36" s="253">
        <f t="shared" si="4"/>
        <v>225907</v>
      </c>
      <c r="K36" s="277">
        <f t="shared" si="4"/>
        <v>3856504.4780000001</v>
      </c>
    </row>
    <row r="37" spans="1:11" s="656" customFormat="1" ht="18" customHeight="1" x14ac:dyDescent="0.2">
      <c r="A37" s="654"/>
      <c r="B37" s="655"/>
      <c r="E37" s="655"/>
      <c r="F37" s="657"/>
      <c r="G37" s="657"/>
      <c r="H37" s="658"/>
      <c r="I37" s="659"/>
      <c r="J37" s="660"/>
      <c r="K37" s="661"/>
    </row>
    <row r="38" spans="1:11" ht="42.75" customHeight="1" x14ac:dyDescent="0.2">
      <c r="F38" s="454" t="s">
        <v>9</v>
      </c>
      <c r="G38" s="454" t="s">
        <v>37</v>
      </c>
      <c r="H38" s="650" t="s">
        <v>29</v>
      </c>
      <c r="I38" s="651" t="s">
        <v>30</v>
      </c>
      <c r="J38" s="651" t="s">
        <v>33</v>
      </c>
      <c r="K38" s="650" t="s">
        <v>34</v>
      </c>
    </row>
    <row r="39" spans="1:11" ht="18.75" customHeight="1" x14ac:dyDescent="0.2">
      <c r="A39" s="455" t="s">
        <v>86</v>
      </c>
      <c r="B39" s="421" t="s">
        <v>49</v>
      </c>
    </row>
    <row r="40" spans="1:11" ht="18" customHeight="1" x14ac:dyDescent="0.2">
      <c r="A40" s="435" t="s">
        <v>87</v>
      </c>
      <c r="B40" s="259" t="s">
        <v>31</v>
      </c>
      <c r="F40" s="221"/>
      <c r="G40" s="221"/>
      <c r="H40" s="276">
        <v>509577</v>
      </c>
      <c r="I40" s="652">
        <f>H40*F$114</f>
        <v>281796.08100000001</v>
      </c>
      <c r="J40" s="280">
        <v>0</v>
      </c>
      <c r="K40" s="277">
        <f t="shared" ref="K40:K47" si="5">(H40+I40)-J40</f>
        <v>791373.08100000001</v>
      </c>
    </row>
    <row r="41" spans="1:11" ht="18" customHeight="1" x14ac:dyDescent="0.2">
      <c r="A41" s="435" t="s">
        <v>88</v>
      </c>
      <c r="B41" s="465" t="s">
        <v>50</v>
      </c>
      <c r="C41" s="466"/>
      <c r="F41" s="221"/>
      <c r="G41" s="221"/>
      <c r="H41" s="276">
        <v>1507354</v>
      </c>
      <c r="I41" s="652">
        <f>H41*F$114</f>
        <v>833566.7620000001</v>
      </c>
      <c r="J41" s="280">
        <v>0</v>
      </c>
      <c r="K41" s="277">
        <f t="shared" si="5"/>
        <v>2340920.7620000001</v>
      </c>
    </row>
    <row r="42" spans="1:11" ht="18" customHeight="1" x14ac:dyDescent="0.2">
      <c r="A42" s="435" t="s">
        <v>89</v>
      </c>
      <c r="B42" s="419" t="s">
        <v>11</v>
      </c>
      <c r="F42" s="221"/>
      <c r="G42" s="221"/>
      <c r="H42" s="276">
        <v>454276</v>
      </c>
      <c r="I42" s="652">
        <f>H42*F$114</f>
        <v>251214.62800000003</v>
      </c>
      <c r="J42" s="280">
        <v>0</v>
      </c>
      <c r="K42" s="277">
        <f t="shared" si="5"/>
        <v>705490.62800000003</v>
      </c>
    </row>
    <row r="43" spans="1:11" ht="18" customHeight="1" x14ac:dyDescent="0.2">
      <c r="A43" s="435" t="s">
        <v>90</v>
      </c>
      <c r="B43" s="467" t="s">
        <v>10</v>
      </c>
      <c r="C43" s="468"/>
      <c r="D43" s="468"/>
      <c r="F43" s="221"/>
      <c r="G43" s="221"/>
      <c r="H43" s="276">
        <v>11190</v>
      </c>
      <c r="I43" s="652">
        <f>H43*F$114</f>
        <v>6188.0700000000006</v>
      </c>
      <c r="J43" s="280">
        <v>0</v>
      </c>
      <c r="K43" s="277">
        <f t="shared" si="5"/>
        <v>17378.07</v>
      </c>
    </row>
    <row r="44" spans="1:11" ht="18" customHeight="1" x14ac:dyDescent="0.2">
      <c r="A44" s="435" t="s">
        <v>91</v>
      </c>
      <c r="B44" s="416" t="s">
        <v>233</v>
      </c>
      <c r="C44" s="635"/>
      <c r="D44" s="636"/>
      <c r="F44" s="407"/>
      <c r="G44" s="407"/>
      <c r="H44" s="276">
        <v>411567</v>
      </c>
      <c r="I44" s="652">
        <f>H44*F$114</f>
        <v>227596.55100000001</v>
      </c>
      <c r="J44" s="280">
        <v>0</v>
      </c>
      <c r="K44" s="276">
        <f t="shared" si="5"/>
        <v>639163.55099999998</v>
      </c>
    </row>
    <row r="45" spans="1:11" ht="18" customHeight="1" x14ac:dyDescent="0.2">
      <c r="A45" s="435" t="s">
        <v>139</v>
      </c>
      <c r="B45" s="456"/>
      <c r="C45" s="457"/>
      <c r="D45" s="458"/>
      <c r="F45" s="221"/>
      <c r="G45" s="221"/>
      <c r="H45" s="276"/>
      <c r="I45" s="652"/>
      <c r="J45" s="280"/>
      <c r="K45" s="277">
        <f t="shared" si="5"/>
        <v>0</v>
      </c>
    </row>
    <row r="46" spans="1:11" ht="18" customHeight="1" x14ac:dyDescent="0.2">
      <c r="A46" s="435" t="s">
        <v>140</v>
      </c>
      <c r="B46" s="456"/>
      <c r="C46" s="457"/>
      <c r="D46" s="458"/>
      <c r="F46" s="221"/>
      <c r="G46" s="221"/>
      <c r="H46" s="276"/>
      <c r="I46" s="652"/>
      <c r="J46" s="280"/>
      <c r="K46" s="277">
        <f t="shared" si="5"/>
        <v>0</v>
      </c>
    </row>
    <row r="47" spans="1:11" ht="18" customHeight="1" x14ac:dyDescent="0.2">
      <c r="A47" s="435" t="s">
        <v>141</v>
      </c>
      <c r="B47" s="456"/>
      <c r="C47" s="457"/>
      <c r="D47" s="458"/>
      <c r="F47" s="221"/>
      <c r="G47" s="221"/>
      <c r="H47" s="276"/>
      <c r="I47" s="652"/>
      <c r="J47" s="280"/>
      <c r="K47" s="277">
        <f t="shared" si="5"/>
        <v>0</v>
      </c>
    </row>
    <row r="49" spans="1:11" ht="18" customHeight="1" x14ac:dyDescent="0.2">
      <c r="A49" s="455" t="s">
        <v>142</v>
      </c>
      <c r="B49" s="421" t="s">
        <v>143</v>
      </c>
      <c r="E49" s="421" t="s">
        <v>7</v>
      </c>
      <c r="F49" s="409">
        <f t="shared" ref="F49:K49" si="6">SUM(F40:F47)</f>
        <v>0</v>
      </c>
      <c r="G49" s="409">
        <f t="shared" si="6"/>
        <v>0</v>
      </c>
      <c r="H49" s="276">
        <f t="shared" si="6"/>
        <v>2893964</v>
      </c>
      <c r="I49" s="280">
        <f t="shared" si="6"/>
        <v>1600362.0920000002</v>
      </c>
      <c r="J49" s="280">
        <f t="shared" si="6"/>
        <v>0</v>
      </c>
      <c r="K49" s="277">
        <f t="shared" si="6"/>
        <v>4494326.0920000002</v>
      </c>
    </row>
    <row r="50" spans="1:11" s="656" customFormat="1" ht="18" customHeight="1" x14ac:dyDescent="0.2">
      <c r="A50" s="654"/>
      <c r="B50" s="655"/>
      <c r="E50" s="655"/>
      <c r="F50" s="662"/>
      <c r="G50" s="663"/>
      <c r="H50" s="658"/>
      <c r="I50" s="659"/>
      <c r="J50" s="660"/>
      <c r="K50" s="658"/>
    </row>
    <row r="51" spans="1:11" ht="42.75" customHeight="1" x14ac:dyDescent="0.2">
      <c r="F51" s="454" t="s">
        <v>9</v>
      </c>
      <c r="G51" s="454" t="s">
        <v>37</v>
      </c>
      <c r="H51" s="650" t="s">
        <v>29</v>
      </c>
      <c r="I51" s="651" t="s">
        <v>30</v>
      </c>
      <c r="J51" s="651" t="s">
        <v>33</v>
      </c>
      <c r="K51" s="650" t="s">
        <v>34</v>
      </c>
    </row>
    <row r="52" spans="1:11" ht="18" customHeight="1" x14ac:dyDescent="0.2">
      <c r="A52" s="455" t="s">
        <v>92</v>
      </c>
      <c r="B52" s="470" t="s">
        <v>38</v>
      </c>
      <c r="C52" s="471"/>
    </row>
    <row r="53" spans="1:11" ht="18" customHeight="1" x14ac:dyDescent="0.2">
      <c r="A53" s="435" t="s">
        <v>471</v>
      </c>
      <c r="B53" s="610" t="s">
        <v>472</v>
      </c>
      <c r="C53" s="425"/>
      <c r="D53" s="415"/>
      <c r="F53" s="221"/>
      <c r="G53" s="221"/>
      <c r="H53" s="276">
        <v>6863418</v>
      </c>
      <c r="I53" s="652">
        <v>0</v>
      </c>
      <c r="J53" s="280"/>
      <c r="K53" s="277">
        <f t="shared" ref="K53:K59" si="7">(H53+I53)-J53</f>
        <v>6863418</v>
      </c>
    </row>
    <row r="54" spans="1:11" ht="18" customHeight="1" x14ac:dyDescent="0.2">
      <c r="A54" s="435" t="s">
        <v>51</v>
      </c>
      <c r="B54" s="413" t="s">
        <v>804</v>
      </c>
      <c r="C54" s="414"/>
      <c r="D54" s="415"/>
      <c r="F54" s="221"/>
      <c r="G54" s="221"/>
      <c r="H54" s="276">
        <v>1569658</v>
      </c>
      <c r="I54" s="652">
        <v>0</v>
      </c>
      <c r="J54" s="280">
        <f>808460</f>
        <v>808460</v>
      </c>
      <c r="K54" s="277">
        <f t="shared" si="7"/>
        <v>761198</v>
      </c>
    </row>
    <row r="55" spans="1:11" ht="18" customHeight="1" x14ac:dyDescent="0.2">
      <c r="A55" s="435" t="s">
        <v>93</v>
      </c>
      <c r="B55" s="420" t="s">
        <v>373</v>
      </c>
      <c r="C55" s="414"/>
      <c r="D55" s="415"/>
      <c r="F55" s="221"/>
      <c r="G55" s="221"/>
      <c r="H55" s="276">
        <v>417121</v>
      </c>
      <c r="I55" s="652">
        <v>0</v>
      </c>
      <c r="J55" s="280"/>
      <c r="K55" s="277">
        <f t="shared" si="7"/>
        <v>417121</v>
      </c>
    </row>
    <row r="56" spans="1:11" ht="18" customHeight="1" x14ac:dyDescent="0.2">
      <c r="A56" s="435" t="s">
        <v>100</v>
      </c>
      <c r="B56" s="413" t="s">
        <v>805</v>
      </c>
      <c r="C56" s="414"/>
      <c r="D56" s="415"/>
      <c r="F56" s="221"/>
      <c r="G56" s="221"/>
      <c r="H56" s="276">
        <v>365004</v>
      </c>
      <c r="I56" s="652">
        <v>0</v>
      </c>
      <c r="J56" s="280"/>
      <c r="K56" s="277">
        <f t="shared" si="7"/>
        <v>365004</v>
      </c>
    </row>
    <row r="57" spans="1:11" ht="18" customHeight="1" x14ac:dyDescent="0.2">
      <c r="A57" s="435" t="s">
        <v>98</v>
      </c>
      <c r="B57" s="413" t="s">
        <v>806</v>
      </c>
      <c r="C57" s="414"/>
      <c r="D57" s="415"/>
      <c r="F57" s="221"/>
      <c r="G57" s="221"/>
      <c r="H57" s="276">
        <v>348045</v>
      </c>
      <c r="I57" s="652">
        <v>0</v>
      </c>
      <c r="J57" s="280"/>
      <c r="K57" s="277">
        <f t="shared" si="7"/>
        <v>348045</v>
      </c>
    </row>
    <row r="58" spans="1:11" ht="18" customHeight="1" x14ac:dyDescent="0.2">
      <c r="A58" s="435" t="s">
        <v>240</v>
      </c>
      <c r="B58" s="413" t="s">
        <v>807</v>
      </c>
      <c r="C58" s="414"/>
      <c r="D58" s="415"/>
      <c r="F58" s="221"/>
      <c r="G58" s="221"/>
      <c r="H58" s="276">
        <v>274857</v>
      </c>
      <c r="I58" s="652">
        <v>0</v>
      </c>
      <c r="J58" s="280"/>
      <c r="K58" s="277">
        <f t="shared" si="7"/>
        <v>274857</v>
      </c>
    </row>
    <row r="59" spans="1:11" ht="18" customHeight="1" x14ac:dyDescent="0.2">
      <c r="A59" s="435" t="s">
        <v>97</v>
      </c>
      <c r="B59" s="413" t="s">
        <v>808</v>
      </c>
      <c r="C59" s="414"/>
      <c r="D59" s="415"/>
      <c r="F59" s="221"/>
      <c r="G59" s="221"/>
      <c r="H59" s="276">
        <v>264297</v>
      </c>
      <c r="I59" s="652">
        <v>0</v>
      </c>
      <c r="J59" s="280"/>
      <c r="K59" s="277">
        <f t="shared" si="7"/>
        <v>264297</v>
      </c>
    </row>
    <row r="60" spans="1:11" ht="18" customHeight="1" x14ac:dyDescent="0.2">
      <c r="A60" s="435"/>
      <c r="B60" s="639" t="s">
        <v>233</v>
      </c>
      <c r="C60" s="640"/>
      <c r="D60" s="640"/>
      <c r="F60" s="641"/>
      <c r="G60" s="641"/>
      <c r="H60" s="664">
        <v>1022056</v>
      </c>
      <c r="I60" s="652"/>
      <c r="J60" s="665">
        <v>5422</v>
      </c>
      <c r="K60" s="666">
        <v>1016634</v>
      </c>
    </row>
    <row r="61" spans="1:11" ht="18" customHeight="1" x14ac:dyDescent="0.2">
      <c r="A61" s="435"/>
      <c r="B61" s="639"/>
      <c r="C61" s="640"/>
      <c r="D61" s="640"/>
      <c r="F61" s="641"/>
      <c r="G61" s="641"/>
      <c r="H61" s="664"/>
      <c r="I61" s="652"/>
      <c r="J61" s="665"/>
      <c r="K61" s="666"/>
    </row>
    <row r="62" spans="1:11" ht="18" customHeight="1" x14ac:dyDescent="0.2">
      <c r="A62" s="435"/>
      <c r="B62" s="639"/>
      <c r="C62" s="640"/>
      <c r="D62" s="640"/>
      <c r="F62" s="641"/>
      <c r="G62" s="641"/>
      <c r="H62" s="664"/>
      <c r="I62" s="652"/>
      <c r="J62" s="665"/>
      <c r="K62" s="666"/>
    </row>
    <row r="63" spans="1:11" ht="18" customHeight="1" x14ac:dyDescent="0.2">
      <c r="A63" s="435"/>
      <c r="B63" s="667"/>
      <c r="C63" s="668"/>
      <c r="D63" s="668"/>
      <c r="E63" s="669"/>
      <c r="F63" s="670"/>
      <c r="G63" s="670"/>
      <c r="H63" s="671"/>
      <c r="I63" s="672"/>
      <c r="J63" s="673"/>
      <c r="K63" s="671"/>
    </row>
    <row r="64" spans="1:11" ht="18" customHeight="1" x14ac:dyDescent="0.2">
      <c r="A64" s="435" t="s">
        <v>144</v>
      </c>
      <c r="B64" s="421" t="s">
        <v>145</v>
      </c>
      <c r="E64" s="421" t="s">
        <v>7</v>
      </c>
      <c r="F64" s="221">
        <f>SUM(F53:F59)</f>
        <v>0</v>
      </c>
      <c r="G64" s="221">
        <f>SUM(G53:G59)</f>
        <v>0</v>
      </c>
      <c r="H64" s="276">
        <f>SUM(H53:H60)</f>
        <v>11124456</v>
      </c>
      <c r="I64" s="253">
        <f>SUM(I53:I59)</f>
        <v>0</v>
      </c>
      <c r="J64" s="253">
        <f>SUM(J53:J60)</f>
        <v>813882</v>
      </c>
      <c r="K64" s="118">
        <f t="shared" ref="K64" si="8">SUM(K53:K62)</f>
        <v>10310574</v>
      </c>
    </row>
    <row r="65" spans="1:11" ht="18" customHeight="1" x14ac:dyDescent="0.2">
      <c r="F65" s="468"/>
      <c r="G65" s="468"/>
      <c r="H65" s="674"/>
      <c r="I65" s="675"/>
      <c r="J65" s="675"/>
      <c r="K65" s="674"/>
    </row>
    <row r="66" spans="1:11" ht="42.75" customHeight="1" x14ac:dyDescent="0.2">
      <c r="F66" s="479" t="s">
        <v>9</v>
      </c>
      <c r="G66" s="479" t="s">
        <v>37</v>
      </c>
      <c r="H66" s="676" t="s">
        <v>29</v>
      </c>
      <c r="I66" s="677" t="s">
        <v>30</v>
      </c>
      <c r="J66" s="677" t="s">
        <v>33</v>
      </c>
      <c r="K66" s="676" t="s">
        <v>34</v>
      </c>
    </row>
    <row r="67" spans="1:11" ht="18" customHeight="1" x14ac:dyDescent="0.2">
      <c r="A67" s="455" t="s">
        <v>102</v>
      </c>
      <c r="B67" s="421" t="s">
        <v>12</v>
      </c>
      <c r="F67" s="480"/>
      <c r="G67" s="480"/>
      <c r="H67" s="678"/>
      <c r="I67" s="256"/>
      <c r="J67" s="256"/>
      <c r="K67" s="678"/>
    </row>
    <row r="68" spans="1:11" ht="18" customHeight="1" x14ac:dyDescent="0.2">
      <c r="A68" s="435" t="s">
        <v>103</v>
      </c>
      <c r="B68" s="679" t="s">
        <v>809</v>
      </c>
      <c r="C68" s="679"/>
      <c r="D68" s="679"/>
      <c r="F68" s="122"/>
      <c r="G68" s="122"/>
      <c r="H68" s="276">
        <v>1566012</v>
      </c>
      <c r="I68" s="652">
        <v>0</v>
      </c>
      <c r="J68" s="280">
        <v>1566012</v>
      </c>
      <c r="K68" s="277">
        <f>(H68+I68)-J68</f>
        <v>0</v>
      </c>
    </row>
    <row r="69" spans="1:11" ht="18" customHeight="1" x14ac:dyDescent="0.2">
      <c r="A69" s="435" t="s">
        <v>104</v>
      </c>
      <c r="B69" s="679" t="s">
        <v>53</v>
      </c>
      <c r="C69" s="679"/>
      <c r="D69" s="679"/>
      <c r="F69" s="122"/>
      <c r="G69" s="122"/>
      <c r="H69" s="276">
        <v>0</v>
      </c>
      <c r="I69" s="652">
        <v>0</v>
      </c>
      <c r="J69" s="280"/>
      <c r="K69" s="277">
        <f>(H69+I69)-J69</f>
        <v>0</v>
      </c>
    </row>
    <row r="70" spans="1:11" ht="18" customHeight="1" x14ac:dyDescent="0.2">
      <c r="A70" s="435" t="s">
        <v>178</v>
      </c>
      <c r="B70" s="420"/>
      <c r="C70" s="414"/>
      <c r="D70" s="415"/>
      <c r="E70" s="421"/>
      <c r="F70" s="422"/>
      <c r="G70" s="422"/>
      <c r="H70" s="680"/>
      <c r="I70" s="652"/>
      <c r="J70" s="681"/>
      <c r="K70" s="277">
        <f>(H70+I70)-J70</f>
        <v>0</v>
      </c>
    </row>
    <row r="71" spans="1:11" ht="18" customHeight="1" x14ac:dyDescent="0.2">
      <c r="A71" s="435" t="s">
        <v>179</v>
      </c>
      <c r="B71" s="420"/>
      <c r="C71" s="414"/>
      <c r="D71" s="415"/>
      <c r="E71" s="421"/>
      <c r="F71" s="422"/>
      <c r="G71" s="422"/>
      <c r="H71" s="680"/>
      <c r="I71" s="652"/>
      <c r="J71" s="681"/>
      <c r="K71" s="277">
        <f>(H71+I71)-J71</f>
        <v>0</v>
      </c>
    </row>
    <row r="72" spans="1:11" ht="18" customHeight="1" x14ac:dyDescent="0.2">
      <c r="A72" s="435" t="s">
        <v>180</v>
      </c>
      <c r="B72" s="424"/>
      <c r="C72" s="425"/>
      <c r="D72" s="426"/>
      <c r="E72" s="421"/>
      <c r="F72" s="221"/>
      <c r="G72" s="221"/>
      <c r="H72" s="276"/>
      <c r="I72" s="652"/>
      <c r="J72" s="280"/>
      <c r="K72" s="277">
        <f>(H72+I72)-J72</f>
        <v>0</v>
      </c>
    </row>
    <row r="73" spans="1:11" ht="18" customHeight="1" x14ac:dyDescent="0.2">
      <c r="A73" s="435"/>
      <c r="B73" s="419"/>
      <c r="E73" s="421"/>
      <c r="F73" s="427"/>
      <c r="G73" s="427"/>
      <c r="H73" s="678"/>
      <c r="I73" s="256"/>
      <c r="J73" s="256"/>
      <c r="K73" s="678"/>
    </row>
    <row r="74" spans="1:11" ht="18" customHeight="1" x14ac:dyDescent="0.2">
      <c r="A74" s="455" t="s">
        <v>146</v>
      </c>
      <c r="B74" s="421" t="s">
        <v>147</v>
      </c>
      <c r="E74" s="421" t="s">
        <v>7</v>
      </c>
      <c r="F74" s="122">
        <f t="shared" ref="F74:K74" si="9">SUM(F68:F72)</f>
        <v>0</v>
      </c>
      <c r="G74" s="122">
        <f t="shared" si="9"/>
        <v>0</v>
      </c>
      <c r="H74" s="276">
        <f t="shared" si="9"/>
        <v>1566012</v>
      </c>
      <c r="I74" s="254">
        <f t="shared" si="9"/>
        <v>0</v>
      </c>
      <c r="J74" s="253">
        <f t="shared" si="9"/>
        <v>1566012</v>
      </c>
      <c r="K74" s="277">
        <f t="shared" si="9"/>
        <v>0</v>
      </c>
    </row>
    <row r="75" spans="1:11" s="656" customFormat="1" ht="18" customHeight="1" x14ac:dyDescent="0.2">
      <c r="A75" s="654"/>
      <c r="B75" s="655"/>
      <c r="E75" s="655"/>
      <c r="F75" s="258"/>
      <c r="G75" s="258"/>
      <c r="H75" s="278"/>
      <c r="I75" s="659"/>
      <c r="J75" s="279"/>
      <c r="K75" s="278"/>
    </row>
    <row r="76" spans="1:11" ht="18" customHeight="1" x14ac:dyDescent="0.2">
      <c r="A76" s="455" t="s">
        <v>105</v>
      </c>
      <c r="B76" s="421" t="s">
        <v>106</v>
      </c>
    </row>
    <row r="77" spans="1:11" ht="18" customHeight="1" x14ac:dyDescent="0.2">
      <c r="A77" s="435" t="s">
        <v>107</v>
      </c>
      <c r="B77" s="419" t="s">
        <v>54</v>
      </c>
      <c r="F77" s="221"/>
      <c r="G77" s="221"/>
      <c r="H77" s="276">
        <v>211351</v>
      </c>
      <c r="I77" s="254">
        <v>0</v>
      </c>
      <c r="J77" s="253">
        <v>0</v>
      </c>
      <c r="K77" s="277">
        <f>(H77+I77)-J77</f>
        <v>211351</v>
      </c>
    </row>
    <row r="78" spans="1:11" ht="18" customHeight="1" x14ac:dyDescent="0.2">
      <c r="A78" s="435" t="s">
        <v>108</v>
      </c>
      <c r="B78" s="419" t="s">
        <v>55</v>
      </c>
      <c r="F78" s="221"/>
      <c r="G78" s="221"/>
      <c r="H78" s="276"/>
      <c r="I78" s="254">
        <v>0</v>
      </c>
      <c r="J78" s="253">
        <v>0</v>
      </c>
      <c r="K78" s="277">
        <f>(H78+I78)-J78</f>
        <v>0</v>
      </c>
    </row>
    <row r="79" spans="1:11" ht="18" customHeight="1" x14ac:dyDescent="0.2">
      <c r="A79" s="435" t="s">
        <v>109</v>
      </c>
      <c r="B79" s="419" t="s">
        <v>13</v>
      </c>
      <c r="F79" s="221"/>
      <c r="G79" s="221"/>
      <c r="H79" s="276">
        <v>81357</v>
      </c>
      <c r="I79" s="254">
        <v>0</v>
      </c>
      <c r="J79" s="253">
        <v>0</v>
      </c>
      <c r="K79" s="277">
        <f>(H79+I79)-J79</f>
        <v>81357</v>
      </c>
    </row>
    <row r="80" spans="1:11" ht="18" customHeight="1" x14ac:dyDescent="0.2">
      <c r="A80" s="435" t="s">
        <v>110</v>
      </c>
      <c r="B80" s="419" t="s">
        <v>56</v>
      </c>
      <c r="F80" s="221"/>
      <c r="G80" s="221"/>
      <c r="H80" s="276">
        <v>1233</v>
      </c>
      <c r="I80" s="652">
        <v>0</v>
      </c>
      <c r="J80" s="253">
        <v>0</v>
      </c>
      <c r="K80" s="277">
        <f>(H80+I80)-J80</f>
        <v>1233</v>
      </c>
    </row>
    <row r="81" spans="1:11" ht="18" customHeight="1" x14ac:dyDescent="0.2">
      <c r="A81" s="435"/>
      <c r="K81" s="682"/>
    </row>
    <row r="82" spans="1:11" ht="18" customHeight="1" x14ac:dyDescent="0.2">
      <c r="A82" s="435" t="s">
        <v>148</v>
      </c>
      <c r="B82" s="421" t="s">
        <v>149</v>
      </c>
      <c r="E82" s="421" t="s">
        <v>7</v>
      </c>
      <c r="F82" s="122">
        <f t="shared" ref="F82:K82" si="10">SUM(F77:F80)</f>
        <v>0</v>
      </c>
      <c r="G82" s="122">
        <f t="shared" si="10"/>
        <v>0</v>
      </c>
      <c r="H82" s="276">
        <f>SUM(H77:H81)</f>
        <v>293941</v>
      </c>
      <c r="I82" s="253">
        <f t="shared" si="10"/>
        <v>0</v>
      </c>
      <c r="J82" s="253">
        <f t="shared" si="10"/>
        <v>0</v>
      </c>
      <c r="K82" s="277">
        <f t="shared" si="10"/>
        <v>293941</v>
      </c>
    </row>
    <row r="83" spans="1:11" s="258" customFormat="1" ht="18" customHeight="1" x14ac:dyDescent="0.2">
      <c r="A83" s="683"/>
      <c r="B83" s="684"/>
      <c r="E83" s="684"/>
      <c r="H83" s="278"/>
      <c r="I83" s="659"/>
      <c r="J83" s="279"/>
      <c r="K83" s="278"/>
    </row>
    <row r="84" spans="1:11" ht="42.75" customHeight="1" x14ac:dyDescent="0.2">
      <c r="F84" s="454" t="s">
        <v>9</v>
      </c>
      <c r="G84" s="454" t="s">
        <v>37</v>
      </c>
      <c r="H84" s="650" t="s">
        <v>29</v>
      </c>
      <c r="I84" s="651" t="s">
        <v>30</v>
      </c>
      <c r="J84" s="651" t="s">
        <v>33</v>
      </c>
      <c r="K84" s="650" t="s">
        <v>34</v>
      </c>
    </row>
    <row r="85" spans="1:11" ht="18" customHeight="1" x14ac:dyDescent="0.2">
      <c r="A85" s="455" t="s">
        <v>111</v>
      </c>
      <c r="B85" s="421" t="s">
        <v>57</v>
      </c>
    </row>
    <row r="86" spans="1:11" ht="18" customHeight="1" x14ac:dyDescent="0.2">
      <c r="A86" s="435" t="s">
        <v>112</v>
      </c>
      <c r="B86" s="419" t="s">
        <v>113</v>
      </c>
      <c r="F86" s="221"/>
      <c r="G86" s="221"/>
      <c r="H86" s="276"/>
      <c r="I86" s="652">
        <f t="shared" ref="I86:I92" si="11">H86*F$114</f>
        <v>0</v>
      </c>
      <c r="J86" s="280"/>
      <c r="K86" s="277">
        <f t="shared" ref="K86:K96" si="12">(H86+I86)-J86</f>
        <v>0</v>
      </c>
    </row>
    <row r="87" spans="1:11" ht="18" customHeight="1" x14ac:dyDescent="0.2">
      <c r="A87" s="435" t="s">
        <v>114</v>
      </c>
      <c r="B87" s="419" t="s">
        <v>14</v>
      </c>
      <c r="F87" s="221"/>
      <c r="G87" s="221"/>
      <c r="H87" s="276">
        <v>5972</v>
      </c>
      <c r="I87" s="652">
        <f t="shared" si="11"/>
        <v>3302.5160000000001</v>
      </c>
      <c r="J87" s="280"/>
      <c r="K87" s="277">
        <f t="shared" si="12"/>
        <v>9274.5159999999996</v>
      </c>
    </row>
    <row r="88" spans="1:11" ht="18" customHeight="1" x14ac:dyDescent="0.2">
      <c r="A88" s="435" t="s">
        <v>115</v>
      </c>
      <c r="B88" s="419" t="s">
        <v>116</v>
      </c>
      <c r="F88" s="221"/>
      <c r="G88" s="221"/>
      <c r="H88" s="276">
        <v>110084</v>
      </c>
      <c r="I88" s="652">
        <f t="shared" si="11"/>
        <v>60876.452000000005</v>
      </c>
      <c r="J88" s="280">
        <v>15448</v>
      </c>
      <c r="K88" s="277">
        <f t="shared" si="12"/>
        <v>155512.45199999999</v>
      </c>
    </row>
    <row r="89" spans="1:11" ht="18" customHeight="1" x14ac:dyDescent="0.2">
      <c r="A89" s="435" t="s">
        <v>117</v>
      </c>
      <c r="B89" s="419" t="s">
        <v>58</v>
      </c>
      <c r="F89" s="221"/>
      <c r="G89" s="221"/>
      <c r="H89" s="276">
        <v>78449</v>
      </c>
      <c r="I89" s="652">
        <f t="shared" si="11"/>
        <v>43382.297000000006</v>
      </c>
      <c r="J89" s="280"/>
      <c r="K89" s="277">
        <f t="shared" si="12"/>
        <v>121831.29700000001</v>
      </c>
    </row>
    <row r="90" spans="1:11" ht="18" customHeight="1" x14ac:dyDescent="0.2">
      <c r="A90" s="435" t="s">
        <v>118</v>
      </c>
      <c r="B90" s="465" t="s">
        <v>59</v>
      </c>
      <c r="C90" s="466"/>
      <c r="F90" s="221"/>
      <c r="G90" s="221"/>
      <c r="H90" s="276"/>
      <c r="I90" s="652">
        <f t="shared" si="11"/>
        <v>0</v>
      </c>
      <c r="J90" s="280"/>
      <c r="K90" s="277">
        <f t="shared" si="12"/>
        <v>0</v>
      </c>
    </row>
    <row r="91" spans="1:11" ht="18" customHeight="1" x14ac:dyDescent="0.2">
      <c r="A91" s="435" t="s">
        <v>119</v>
      </c>
      <c r="B91" s="419" t="s">
        <v>60</v>
      </c>
      <c r="F91" s="221"/>
      <c r="G91" s="221"/>
      <c r="H91" s="276">
        <v>79503</v>
      </c>
      <c r="I91" s="652">
        <f t="shared" si="11"/>
        <v>43965.159000000007</v>
      </c>
      <c r="J91" s="280">
        <v>15448</v>
      </c>
      <c r="K91" s="277">
        <f t="shared" si="12"/>
        <v>108020.15900000001</v>
      </c>
    </row>
    <row r="92" spans="1:11" ht="18" customHeight="1" x14ac:dyDescent="0.2">
      <c r="A92" s="435" t="s">
        <v>120</v>
      </c>
      <c r="B92" s="419" t="s">
        <v>121</v>
      </c>
      <c r="F92" s="257"/>
      <c r="G92" s="257"/>
      <c r="H92" s="685">
        <v>1284</v>
      </c>
      <c r="I92" s="652">
        <f t="shared" si="11"/>
        <v>710.05200000000002</v>
      </c>
      <c r="J92" s="686"/>
      <c r="K92" s="277">
        <f t="shared" si="12"/>
        <v>1994.0520000000001</v>
      </c>
    </row>
    <row r="93" spans="1:11" ht="18" customHeight="1" x14ac:dyDescent="0.2">
      <c r="A93" s="435" t="s">
        <v>122</v>
      </c>
      <c r="B93" s="419" t="s">
        <v>123</v>
      </c>
      <c r="F93" s="221"/>
      <c r="G93" s="221"/>
      <c r="H93" s="276">
        <v>94086</v>
      </c>
      <c r="I93" s="652">
        <f>H93*0.553</f>
        <v>52029.558000000005</v>
      </c>
      <c r="J93" s="280"/>
      <c r="K93" s="277">
        <f t="shared" si="12"/>
        <v>146115.55800000002</v>
      </c>
    </row>
    <row r="94" spans="1:11" ht="18" customHeight="1" x14ac:dyDescent="0.2">
      <c r="A94" s="435" t="s">
        <v>124</v>
      </c>
      <c r="B94" s="418"/>
      <c r="C94" s="417"/>
      <c r="D94" s="412"/>
      <c r="F94" s="221"/>
      <c r="G94" s="221"/>
      <c r="H94" s="276"/>
      <c r="I94" s="652">
        <f>H94*F$114</f>
        <v>0</v>
      </c>
      <c r="J94" s="280"/>
      <c r="K94" s="277">
        <f t="shared" si="12"/>
        <v>0</v>
      </c>
    </row>
    <row r="95" spans="1:11" ht="18" customHeight="1" x14ac:dyDescent="0.2">
      <c r="A95" s="435" t="s">
        <v>125</v>
      </c>
      <c r="B95" s="418"/>
      <c r="C95" s="417"/>
      <c r="D95" s="412"/>
      <c r="F95" s="221"/>
      <c r="G95" s="221"/>
      <c r="H95" s="276"/>
      <c r="I95" s="652">
        <f>H95*F$114</f>
        <v>0</v>
      </c>
      <c r="J95" s="280"/>
      <c r="K95" s="277">
        <f t="shared" si="12"/>
        <v>0</v>
      </c>
    </row>
    <row r="96" spans="1:11" ht="18" customHeight="1" x14ac:dyDescent="0.2">
      <c r="A96" s="435" t="s">
        <v>126</v>
      </c>
      <c r="B96" s="418"/>
      <c r="C96" s="417"/>
      <c r="D96" s="412"/>
      <c r="F96" s="221"/>
      <c r="G96" s="221"/>
      <c r="H96" s="276"/>
      <c r="I96" s="652">
        <f>H96*F$114</f>
        <v>0</v>
      </c>
      <c r="J96" s="280"/>
      <c r="K96" s="277">
        <f t="shared" si="12"/>
        <v>0</v>
      </c>
    </row>
    <row r="97" spans="1:11" ht="18" customHeight="1" x14ac:dyDescent="0.2">
      <c r="A97" s="435"/>
      <c r="B97" s="419"/>
    </row>
    <row r="98" spans="1:11" ht="18" customHeight="1" x14ac:dyDescent="0.2">
      <c r="A98" s="455" t="s">
        <v>150</v>
      </c>
      <c r="B98" s="421" t="s">
        <v>151</v>
      </c>
      <c r="E98" s="421" t="s">
        <v>7</v>
      </c>
      <c r="F98" s="221">
        <f t="shared" ref="F98:K98" si="13">SUM(F86:F96)</f>
        <v>0</v>
      </c>
      <c r="G98" s="221">
        <f t="shared" si="13"/>
        <v>0</v>
      </c>
      <c r="H98" s="276">
        <f t="shared" si="13"/>
        <v>369378</v>
      </c>
      <c r="I98" s="253">
        <f>SUM(I86:I97)</f>
        <v>204266.03400000004</v>
      </c>
      <c r="J98" s="253">
        <f t="shared" si="13"/>
        <v>30896</v>
      </c>
      <c r="K98" s="277">
        <f t="shared" si="13"/>
        <v>542748.03399999999</v>
      </c>
    </row>
    <row r="99" spans="1:11" ht="18" customHeight="1" x14ac:dyDescent="0.2">
      <c r="A99" s="455"/>
      <c r="B99" s="421"/>
      <c r="E99" s="421"/>
      <c r="F99" s="687"/>
      <c r="G99" s="687"/>
      <c r="H99" s="278"/>
      <c r="I99" s="659"/>
      <c r="J99" s="279"/>
      <c r="K99" s="278"/>
    </row>
    <row r="100" spans="1:11" ht="42.75" customHeight="1" x14ac:dyDescent="0.2">
      <c r="F100" s="454" t="s">
        <v>9</v>
      </c>
      <c r="G100" s="454" t="s">
        <v>37</v>
      </c>
      <c r="H100" s="650" t="s">
        <v>29</v>
      </c>
      <c r="I100" s="651" t="s">
        <v>30</v>
      </c>
      <c r="J100" s="651" t="s">
        <v>33</v>
      </c>
      <c r="K100" s="650" t="s">
        <v>34</v>
      </c>
    </row>
    <row r="101" spans="1:11" ht="18" customHeight="1" x14ac:dyDescent="0.2">
      <c r="A101" s="455" t="s">
        <v>130</v>
      </c>
      <c r="B101" s="421" t="s">
        <v>63</v>
      </c>
    </row>
    <row r="102" spans="1:11" ht="18" customHeight="1" x14ac:dyDescent="0.2">
      <c r="A102" s="435" t="s">
        <v>131</v>
      </c>
      <c r="B102" s="419" t="s">
        <v>152</v>
      </c>
      <c r="F102" s="221"/>
      <c r="G102" s="221"/>
      <c r="H102" s="276">
        <f>128169</f>
        <v>128169</v>
      </c>
      <c r="I102" s="652">
        <f>H102*F$114</f>
        <v>70877.457000000009</v>
      </c>
      <c r="J102" s="280">
        <v>30895</v>
      </c>
      <c r="K102" s="277">
        <f>(H102+I102)-J102</f>
        <v>168151.45699999999</v>
      </c>
    </row>
    <row r="103" spans="1:11" ht="18" customHeight="1" x14ac:dyDescent="0.2">
      <c r="A103" s="435" t="s">
        <v>132</v>
      </c>
      <c r="B103" s="465" t="s">
        <v>62</v>
      </c>
      <c r="C103" s="465"/>
      <c r="F103" s="221"/>
      <c r="G103" s="221"/>
      <c r="H103" s="276">
        <v>49219</v>
      </c>
      <c r="I103" s="652">
        <f>H103*F$114</f>
        <v>27218.107000000004</v>
      </c>
      <c r="J103" s="280">
        <v>15448</v>
      </c>
      <c r="K103" s="277">
        <f>(H103+I103)-J103</f>
        <v>60989.107000000004</v>
      </c>
    </row>
    <row r="104" spans="1:11" ht="18" customHeight="1" x14ac:dyDescent="0.2">
      <c r="A104" s="435" t="s">
        <v>128</v>
      </c>
      <c r="B104" s="416" t="s">
        <v>327</v>
      </c>
      <c r="C104" s="417"/>
      <c r="D104" s="412"/>
      <c r="F104" s="221"/>
      <c r="G104" s="221"/>
      <c r="H104" s="276">
        <v>37101</v>
      </c>
      <c r="I104" s="652">
        <f>H104*F$114</f>
        <v>20516.853000000003</v>
      </c>
      <c r="J104" s="280"/>
      <c r="K104" s="277">
        <f>(H104+I104)-J104</f>
        <v>57617.853000000003</v>
      </c>
    </row>
    <row r="105" spans="1:11" ht="18" customHeight="1" x14ac:dyDescent="0.2">
      <c r="A105" s="435" t="s">
        <v>127</v>
      </c>
      <c r="B105" s="418"/>
      <c r="C105" s="417"/>
      <c r="D105" s="412"/>
      <c r="F105" s="221"/>
      <c r="G105" s="221"/>
      <c r="H105" s="276"/>
      <c r="I105" s="652">
        <f>H105*F$114</f>
        <v>0</v>
      </c>
      <c r="J105" s="280"/>
      <c r="K105" s="277">
        <f>(H105+I105)-J105</f>
        <v>0</v>
      </c>
    </row>
    <row r="106" spans="1:11" ht="18" customHeight="1" x14ac:dyDescent="0.2">
      <c r="A106" s="435" t="s">
        <v>129</v>
      </c>
      <c r="B106" s="418"/>
      <c r="C106" s="417"/>
      <c r="D106" s="412"/>
      <c r="F106" s="221"/>
      <c r="G106" s="221"/>
      <c r="H106" s="276"/>
      <c r="I106" s="652">
        <f>H106*F$114</f>
        <v>0</v>
      </c>
      <c r="J106" s="280"/>
      <c r="K106" s="277">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0</v>
      </c>
      <c r="G108" s="221">
        <f t="shared" si="14"/>
        <v>0</v>
      </c>
      <c r="H108" s="276">
        <f t="shared" si="14"/>
        <v>214489</v>
      </c>
      <c r="I108" s="280">
        <f t="shared" si="14"/>
        <v>118612.41700000002</v>
      </c>
      <c r="J108" s="253">
        <f t="shared" si="14"/>
        <v>46343</v>
      </c>
      <c r="K108" s="277">
        <f t="shared" si="14"/>
        <v>286758.41700000002</v>
      </c>
    </row>
    <row r="109" spans="1:11" s="468" customFormat="1" ht="18" customHeight="1" x14ac:dyDescent="0.2">
      <c r="A109" s="482"/>
      <c r="B109" s="483"/>
      <c r="C109" s="484"/>
      <c r="D109" s="484"/>
      <c r="E109" s="484"/>
      <c r="F109" s="258"/>
      <c r="G109" s="258"/>
      <c r="H109" s="278"/>
      <c r="I109" s="688"/>
      <c r="J109" s="279"/>
      <c r="K109" s="278"/>
    </row>
    <row r="110" spans="1:11" s="468" customFormat="1" ht="18" customHeight="1" x14ac:dyDescent="0.2">
      <c r="A110" s="455" t="s">
        <v>156</v>
      </c>
      <c r="B110" s="421" t="s">
        <v>39</v>
      </c>
      <c r="C110" s="259"/>
      <c r="D110" s="259"/>
      <c r="E110" s="259"/>
      <c r="F110" s="259"/>
      <c r="G110" s="259"/>
      <c r="H110" s="649"/>
      <c r="I110" s="648"/>
      <c r="J110" s="648"/>
      <c r="K110" s="649"/>
    </row>
    <row r="111" spans="1:11" ht="18" customHeight="1" x14ac:dyDescent="0.2">
      <c r="A111" s="455" t="s">
        <v>155</v>
      </c>
      <c r="B111" s="421" t="s">
        <v>164</v>
      </c>
      <c r="E111" s="421" t="s">
        <v>7</v>
      </c>
      <c r="F111" s="280">
        <v>4386000</v>
      </c>
    </row>
    <row r="112" spans="1:11" ht="18" customHeight="1" x14ac:dyDescent="0.2">
      <c r="B112" s="421"/>
      <c r="E112" s="421"/>
      <c r="F112" s="279"/>
    </row>
    <row r="113" spans="1:6" ht="18" customHeight="1" x14ac:dyDescent="0.2">
      <c r="A113" s="455"/>
      <c r="B113" s="421" t="s">
        <v>15</v>
      </c>
      <c r="F113" s="648"/>
    </row>
    <row r="114" spans="1:6" ht="18" customHeight="1" x14ac:dyDescent="0.25">
      <c r="A114" s="435" t="s">
        <v>171</v>
      </c>
      <c r="B114" s="689" t="s">
        <v>556</v>
      </c>
      <c r="C114" s="690"/>
      <c r="D114" s="690"/>
      <c r="E114" s="690"/>
      <c r="F114" s="691">
        <v>0.55300000000000005</v>
      </c>
    </row>
    <row r="115" spans="1:6" ht="18" customHeight="1" x14ac:dyDescent="0.25">
      <c r="A115" s="435"/>
      <c r="B115" s="689" t="s">
        <v>557</v>
      </c>
      <c r="C115" s="690"/>
      <c r="D115" s="690"/>
      <c r="E115" s="690"/>
      <c r="F115" s="691">
        <v>0.21970000000000001</v>
      </c>
    </row>
    <row r="116" spans="1:6" ht="18" customHeight="1" x14ac:dyDescent="0.2">
      <c r="A116" s="435" t="s">
        <v>170</v>
      </c>
      <c r="B116" s="421" t="s">
        <v>16</v>
      </c>
      <c r="F116" s="648"/>
    </row>
    <row r="117" spans="1:6" ht="18" customHeight="1" x14ac:dyDescent="0.2">
      <c r="A117" s="435" t="s">
        <v>172</v>
      </c>
      <c r="B117" s="419" t="s">
        <v>17</v>
      </c>
      <c r="F117" s="280">
        <v>281731000</v>
      </c>
    </row>
    <row r="118" spans="1:6" ht="18" customHeight="1" x14ac:dyDescent="0.2">
      <c r="A118" s="435" t="s">
        <v>173</v>
      </c>
      <c r="B118" s="259" t="s">
        <v>18</v>
      </c>
      <c r="F118" s="280">
        <f>F119-F117</f>
        <v>26940000</v>
      </c>
    </row>
    <row r="119" spans="1:6" ht="18" customHeight="1" x14ac:dyDescent="0.2">
      <c r="A119" s="435" t="s">
        <v>174</v>
      </c>
      <c r="B119" s="421" t="s">
        <v>19</v>
      </c>
      <c r="F119" s="280">
        <v>308671000</v>
      </c>
    </row>
    <row r="120" spans="1:6" ht="18" customHeight="1" x14ac:dyDescent="0.2">
      <c r="A120" s="435"/>
      <c r="B120" s="421"/>
    </row>
    <row r="121" spans="1:6" ht="18" customHeight="1" x14ac:dyDescent="0.2">
      <c r="A121" s="435" t="s">
        <v>167</v>
      </c>
      <c r="B121" s="421" t="s">
        <v>36</v>
      </c>
      <c r="F121" s="103">
        <v>295311000</v>
      </c>
    </row>
    <row r="122" spans="1:6" ht="18" customHeight="1" x14ac:dyDescent="0.2">
      <c r="A122" s="435"/>
    </row>
    <row r="123" spans="1:6" ht="18" customHeight="1" x14ac:dyDescent="0.2">
      <c r="A123" s="435" t="s">
        <v>175</v>
      </c>
      <c r="B123" s="421" t="s">
        <v>20</v>
      </c>
      <c r="F123" s="103">
        <f>F119-F121</f>
        <v>13360000</v>
      </c>
    </row>
    <row r="124" spans="1:6" ht="18" customHeight="1" x14ac:dyDescent="0.2">
      <c r="A124" s="435"/>
    </row>
    <row r="125" spans="1:6" ht="18" customHeight="1" x14ac:dyDescent="0.2">
      <c r="A125" s="435" t="s">
        <v>176</v>
      </c>
      <c r="B125" s="421" t="s">
        <v>21</v>
      </c>
      <c r="F125" s="118">
        <f>16040000</f>
        <v>16040000</v>
      </c>
    </row>
    <row r="126" spans="1:6" ht="18" customHeight="1" x14ac:dyDescent="0.2">
      <c r="A126" s="435"/>
    </row>
    <row r="127" spans="1:6" ht="18" customHeight="1" x14ac:dyDescent="0.2">
      <c r="A127" s="435" t="s">
        <v>177</v>
      </c>
      <c r="B127" s="421" t="s">
        <v>22</v>
      </c>
      <c r="F127" s="248">
        <f>F123+F125</f>
        <v>29400000</v>
      </c>
    </row>
    <row r="128" spans="1:6" ht="18" customHeight="1" x14ac:dyDescent="0.2">
      <c r="A128" s="435"/>
    </row>
    <row r="129" spans="1:11" ht="42.75" customHeight="1" x14ac:dyDescent="0.2">
      <c r="F129" s="454" t="s">
        <v>9</v>
      </c>
      <c r="G129" s="454" t="s">
        <v>37</v>
      </c>
      <c r="H129" s="650" t="s">
        <v>29</v>
      </c>
      <c r="I129" s="651" t="s">
        <v>30</v>
      </c>
      <c r="J129" s="651" t="s">
        <v>33</v>
      </c>
      <c r="K129" s="650" t="s">
        <v>34</v>
      </c>
    </row>
    <row r="130" spans="1:11" ht="18" customHeight="1" x14ac:dyDescent="0.2">
      <c r="A130" s="455" t="s">
        <v>157</v>
      </c>
      <c r="B130" s="421" t="s">
        <v>23</v>
      </c>
    </row>
    <row r="131" spans="1:11" ht="18" customHeight="1" x14ac:dyDescent="0.2">
      <c r="A131" s="435" t="s">
        <v>158</v>
      </c>
      <c r="B131" s="259" t="s">
        <v>24</v>
      </c>
      <c r="F131" s="221"/>
      <c r="G131" s="221"/>
      <c r="H131" s="276">
        <v>94358</v>
      </c>
      <c r="I131" s="254">
        <v>0</v>
      </c>
      <c r="J131" s="253"/>
      <c r="K131" s="277">
        <f>(H131+I131)-J131</f>
        <v>94358</v>
      </c>
    </row>
    <row r="132" spans="1:11" ht="18" customHeight="1" x14ac:dyDescent="0.2">
      <c r="A132" s="435" t="s">
        <v>159</v>
      </c>
      <c r="B132" s="259" t="s">
        <v>25</v>
      </c>
      <c r="F132" s="221"/>
      <c r="G132" s="221"/>
      <c r="H132" s="276">
        <v>208954</v>
      </c>
      <c r="I132" s="254">
        <v>0</v>
      </c>
      <c r="J132" s="253"/>
      <c r="K132" s="277">
        <f>(H132+I132)-J132</f>
        <v>208954</v>
      </c>
    </row>
    <row r="133" spans="1:11" ht="18" customHeight="1" x14ac:dyDescent="0.2">
      <c r="A133" s="435" t="s">
        <v>160</v>
      </c>
      <c r="B133" s="456"/>
      <c r="C133" s="457"/>
      <c r="D133" s="458"/>
      <c r="F133" s="221"/>
      <c r="G133" s="221"/>
      <c r="H133" s="276"/>
      <c r="I133" s="254">
        <v>0</v>
      </c>
      <c r="J133" s="253"/>
      <c r="K133" s="277">
        <f>(H133+I133)-J133</f>
        <v>0</v>
      </c>
    </row>
    <row r="134" spans="1:11" ht="18" customHeight="1" x14ac:dyDescent="0.2">
      <c r="A134" s="435" t="s">
        <v>161</v>
      </c>
      <c r="B134" s="456"/>
      <c r="C134" s="457"/>
      <c r="D134" s="458"/>
      <c r="F134" s="221"/>
      <c r="G134" s="221"/>
      <c r="H134" s="276"/>
      <c r="I134" s="254">
        <v>0</v>
      </c>
      <c r="J134" s="253"/>
      <c r="K134" s="277">
        <f>(H134+I134)-J134</f>
        <v>0</v>
      </c>
    </row>
    <row r="135" spans="1:11" ht="18" customHeight="1" x14ac:dyDescent="0.2">
      <c r="A135" s="435" t="s">
        <v>162</v>
      </c>
      <c r="B135" s="456"/>
      <c r="C135" s="457"/>
      <c r="D135" s="458"/>
      <c r="F135" s="221"/>
      <c r="G135" s="221"/>
      <c r="H135" s="276"/>
      <c r="I135" s="254">
        <v>0</v>
      </c>
      <c r="J135" s="253"/>
      <c r="K135" s="277">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276">
        <f t="shared" si="15"/>
        <v>303312</v>
      </c>
      <c r="I137" s="692"/>
      <c r="J137" s="253">
        <f t="shared" si="15"/>
        <v>0</v>
      </c>
      <c r="K137" s="277">
        <f t="shared" si="15"/>
        <v>303312</v>
      </c>
    </row>
    <row r="138" spans="1:11" ht="18" customHeight="1" x14ac:dyDescent="0.2">
      <c r="A138" s="455"/>
      <c r="B138" s="421"/>
      <c r="F138" s="687"/>
      <c r="G138" s="687"/>
      <c r="H138" s="278"/>
      <c r="I138" s="659"/>
      <c r="J138" s="279"/>
      <c r="K138" s="278"/>
    </row>
    <row r="139" spans="1:11" ht="42.75" customHeight="1" x14ac:dyDescent="0.2">
      <c r="F139" s="454" t="s">
        <v>9</v>
      </c>
      <c r="G139" s="454" t="s">
        <v>37</v>
      </c>
      <c r="H139" s="650" t="s">
        <v>29</v>
      </c>
      <c r="I139" s="651" t="s">
        <v>30</v>
      </c>
      <c r="J139" s="651" t="s">
        <v>33</v>
      </c>
      <c r="K139" s="650" t="s">
        <v>34</v>
      </c>
    </row>
    <row r="140" spans="1:11" ht="18" customHeight="1" x14ac:dyDescent="0.2">
      <c r="A140" s="455" t="s">
        <v>166</v>
      </c>
      <c r="B140" s="421" t="s">
        <v>26</v>
      </c>
    </row>
    <row r="141" spans="1:11" ht="18" customHeight="1" x14ac:dyDescent="0.2">
      <c r="A141" s="435" t="s">
        <v>137</v>
      </c>
      <c r="B141" s="421" t="s">
        <v>64</v>
      </c>
      <c r="F141" s="422">
        <f t="shared" ref="F141:K141" si="16">F36</f>
        <v>0</v>
      </c>
      <c r="G141" s="422">
        <f t="shared" si="16"/>
        <v>0</v>
      </c>
      <c r="H141" s="680">
        <f t="shared" si="16"/>
        <v>2628726</v>
      </c>
      <c r="I141" s="693">
        <f t="shared" si="16"/>
        <v>1453685.4780000001</v>
      </c>
      <c r="J141" s="693">
        <f t="shared" si="16"/>
        <v>225907</v>
      </c>
      <c r="K141" s="694">
        <f t="shared" si="16"/>
        <v>3856504.4780000001</v>
      </c>
    </row>
    <row r="142" spans="1:11" ht="18" customHeight="1" x14ac:dyDescent="0.2">
      <c r="A142" s="435" t="s">
        <v>142</v>
      </c>
      <c r="B142" s="421" t="s">
        <v>65</v>
      </c>
      <c r="F142" s="422">
        <f t="shared" ref="F142:K142" si="17">F49</f>
        <v>0</v>
      </c>
      <c r="G142" s="422">
        <f t="shared" si="17"/>
        <v>0</v>
      </c>
      <c r="H142" s="680">
        <f t="shared" si="17"/>
        <v>2893964</v>
      </c>
      <c r="I142" s="693">
        <f t="shared" si="17"/>
        <v>1600362.0920000002</v>
      </c>
      <c r="J142" s="693">
        <f t="shared" si="17"/>
        <v>0</v>
      </c>
      <c r="K142" s="694">
        <f t="shared" si="17"/>
        <v>4494326.0920000002</v>
      </c>
    </row>
    <row r="143" spans="1:11" ht="18" customHeight="1" x14ac:dyDescent="0.2">
      <c r="A143" s="435" t="s">
        <v>144</v>
      </c>
      <c r="B143" s="421" t="s">
        <v>66</v>
      </c>
      <c r="F143" s="422">
        <f t="shared" ref="F143:K143" si="18">F64</f>
        <v>0</v>
      </c>
      <c r="G143" s="422">
        <f t="shared" si="18"/>
        <v>0</v>
      </c>
      <c r="H143" s="680">
        <f t="shared" si="18"/>
        <v>11124456</v>
      </c>
      <c r="I143" s="693">
        <f t="shared" si="18"/>
        <v>0</v>
      </c>
      <c r="J143" s="693">
        <f t="shared" si="18"/>
        <v>813882</v>
      </c>
      <c r="K143" s="694">
        <f t="shared" si="18"/>
        <v>10310574</v>
      </c>
    </row>
    <row r="144" spans="1:11" ht="18" customHeight="1" x14ac:dyDescent="0.2">
      <c r="A144" s="435" t="s">
        <v>146</v>
      </c>
      <c r="B144" s="421" t="s">
        <v>67</v>
      </c>
      <c r="F144" s="422">
        <f t="shared" ref="F144:K144" si="19">F74</f>
        <v>0</v>
      </c>
      <c r="G144" s="422">
        <f t="shared" si="19"/>
        <v>0</v>
      </c>
      <c r="H144" s="680">
        <f t="shared" si="19"/>
        <v>1566012</v>
      </c>
      <c r="I144" s="693">
        <f t="shared" si="19"/>
        <v>0</v>
      </c>
      <c r="J144" s="693">
        <f t="shared" si="19"/>
        <v>1566012</v>
      </c>
      <c r="K144" s="694">
        <f t="shared" si="19"/>
        <v>0</v>
      </c>
    </row>
    <row r="145" spans="1:12" ht="18" customHeight="1" x14ac:dyDescent="0.2">
      <c r="A145" s="435" t="s">
        <v>148</v>
      </c>
      <c r="B145" s="421" t="s">
        <v>68</v>
      </c>
      <c r="F145" s="422">
        <f t="shared" ref="F145:K145" si="20">F82</f>
        <v>0</v>
      </c>
      <c r="G145" s="422">
        <f t="shared" si="20"/>
        <v>0</v>
      </c>
      <c r="H145" s="680">
        <f t="shared" si="20"/>
        <v>293941</v>
      </c>
      <c r="I145" s="693">
        <f t="shared" si="20"/>
        <v>0</v>
      </c>
      <c r="J145" s="693">
        <f t="shared" si="20"/>
        <v>0</v>
      </c>
      <c r="K145" s="694">
        <f t="shared" si="20"/>
        <v>293941</v>
      </c>
    </row>
    <row r="146" spans="1:12" ht="18" customHeight="1" x14ac:dyDescent="0.2">
      <c r="A146" s="435" t="s">
        <v>150</v>
      </c>
      <c r="B146" s="421" t="s">
        <v>69</v>
      </c>
      <c r="F146" s="422">
        <f t="shared" ref="F146:K146" si="21">F98</f>
        <v>0</v>
      </c>
      <c r="G146" s="422">
        <f t="shared" si="21"/>
        <v>0</v>
      </c>
      <c r="H146" s="680">
        <f t="shared" si="21"/>
        <v>369378</v>
      </c>
      <c r="I146" s="693">
        <f t="shared" si="21"/>
        <v>204266.03400000004</v>
      </c>
      <c r="J146" s="693">
        <f t="shared" si="21"/>
        <v>30896</v>
      </c>
      <c r="K146" s="694">
        <f t="shared" si="21"/>
        <v>542748.03399999999</v>
      </c>
    </row>
    <row r="147" spans="1:12" ht="18" customHeight="1" x14ac:dyDescent="0.2">
      <c r="A147" s="435" t="s">
        <v>153</v>
      </c>
      <c r="B147" s="421" t="s">
        <v>61</v>
      </c>
      <c r="F147" s="221">
        <f t="shared" ref="F147:K147" si="22">F108</f>
        <v>0</v>
      </c>
      <c r="G147" s="221">
        <f t="shared" si="22"/>
        <v>0</v>
      </c>
      <c r="H147" s="276">
        <f t="shared" si="22"/>
        <v>214489</v>
      </c>
      <c r="I147" s="253">
        <f t="shared" si="22"/>
        <v>118612.41700000002</v>
      </c>
      <c r="J147" s="253">
        <f t="shared" si="22"/>
        <v>46343</v>
      </c>
      <c r="K147" s="277">
        <f t="shared" si="22"/>
        <v>286758.41700000002</v>
      </c>
      <c r="L147" s="695"/>
    </row>
    <row r="148" spans="1:12" ht="18" customHeight="1" x14ac:dyDescent="0.2">
      <c r="A148" s="435" t="s">
        <v>155</v>
      </c>
      <c r="B148" s="421" t="s">
        <v>70</v>
      </c>
      <c r="F148" s="485" t="s">
        <v>73</v>
      </c>
      <c r="G148" s="485" t="s">
        <v>73</v>
      </c>
      <c r="H148" s="696" t="s">
        <v>73</v>
      </c>
      <c r="I148" s="697" t="s">
        <v>73</v>
      </c>
      <c r="J148" s="697" t="s">
        <v>73</v>
      </c>
      <c r="K148" s="694">
        <f>F111</f>
        <v>4386000</v>
      </c>
      <c r="L148" s="695"/>
    </row>
    <row r="149" spans="1:12" ht="18" customHeight="1" x14ac:dyDescent="0.2">
      <c r="A149" s="435" t="s">
        <v>163</v>
      </c>
      <c r="B149" s="421" t="s">
        <v>71</v>
      </c>
      <c r="F149" s="221">
        <f t="shared" ref="F149:K149" si="23">F137</f>
        <v>0</v>
      </c>
      <c r="G149" s="221">
        <f t="shared" si="23"/>
        <v>0</v>
      </c>
      <c r="H149" s="276">
        <f t="shared" si="23"/>
        <v>303312</v>
      </c>
      <c r="I149" s="253">
        <f t="shared" si="23"/>
        <v>0</v>
      </c>
      <c r="J149" s="253">
        <f t="shared" si="23"/>
        <v>0</v>
      </c>
      <c r="K149" s="277">
        <f t="shared" si="23"/>
        <v>303312</v>
      </c>
    </row>
    <row r="150" spans="1:12" ht="18" customHeight="1" x14ac:dyDescent="0.2">
      <c r="A150" s="435" t="s">
        <v>185</v>
      </c>
      <c r="B150" s="421" t="s">
        <v>186</v>
      </c>
      <c r="F150" s="485" t="s">
        <v>73</v>
      </c>
      <c r="G150" s="485" t="s">
        <v>73</v>
      </c>
      <c r="H150" s="276">
        <f>H18</f>
        <v>6905823.4400000004</v>
      </c>
      <c r="I150" s="253">
        <f>I18</f>
        <v>0</v>
      </c>
      <c r="J150" s="253">
        <f>J18</f>
        <v>5836783.5300000003</v>
      </c>
      <c r="K150" s="277">
        <f>K18</f>
        <v>1069039.9100000001</v>
      </c>
    </row>
    <row r="151" spans="1:12" ht="18" customHeight="1" x14ac:dyDescent="0.2">
      <c r="B151" s="421"/>
      <c r="F151" s="478"/>
      <c r="G151" s="478"/>
      <c r="H151" s="698"/>
      <c r="I151" s="699"/>
      <c r="J151" s="699"/>
      <c r="K151" s="698"/>
    </row>
    <row r="152" spans="1:12" ht="18" customHeight="1" x14ac:dyDescent="0.2">
      <c r="A152" s="455" t="s">
        <v>165</v>
      </c>
      <c r="B152" s="421" t="s">
        <v>26</v>
      </c>
      <c r="F152" s="487">
        <f t="shared" ref="F152:K152" si="24">SUM(F141:F150)</f>
        <v>0</v>
      </c>
      <c r="G152" s="487">
        <f t="shared" si="24"/>
        <v>0</v>
      </c>
      <c r="H152" s="700">
        <f t="shared" si="24"/>
        <v>26300101.440000001</v>
      </c>
      <c r="I152" s="701">
        <f t="shared" si="24"/>
        <v>3376926.0210000002</v>
      </c>
      <c r="J152" s="701">
        <f t="shared" si="24"/>
        <v>8519823.5300000012</v>
      </c>
      <c r="K152" s="702">
        <f t="shared" si="24"/>
        <v>25543203.931000002</v>
      </c>
    </row>
    <row r="154" spans="1:12" ht="18" customHeight="1" x14ac:dyDescent="0.2">
      <c r="A154" s="455" t="s">
        <v>168</v>
      </c>
      <c r="B154" s="421" t="s">
        <v>28</v>
      </c>
      <c r="F154" s="140">
        <f>K152/F121</f>
        <v>8.6495944719295934E-2</v>
      </c>
    </row>
    <row r="155" spans="1:12" ht="18" customHeight="1" x14ac:dyDescent="0.2">
      <c r="A155" s="455" t="s">
        <v>169</v>
      </c>
      <c r="B155" s="421" t="s">
        <v>72</v>
      </c>
      <c r="F155" s="140">
        <f>K152/F127</f>
        <v>0.86881646023809533</v>
      </c>
      <c r="G155" s="421"/>
    </row>
    <row r="156" spans="1:12" ht="18" customHeight="1" x14ac:dyDescent="0.2">
      <c r="G156" s="421"/>
    </row>
  </sheetData>
  <sheetProtection algorithmName="SHA-512" hashValue="aRocBKmQky+0ybhiMtguoN57GvapRdg1gMwEn3XYnX26+GZngYXiSScSp2Q+qIm9YDLkSgd+EL32F+sFa8IT2A==" saltValue="vlc14IGthnAJMB2ErPW+mw==" spinCount="100000" sheet="1" objects="1" scenarios="1"/>
  <mergeCells count="30">
    <mergeCell ref="B134:D134"/>
    <mergeCell ref="B135:D135"/>
    <mergeCell ref="B44:D44"/>
    <mergeCell ref="B45:D45"/>
    <mergeCell ref="B46:D46"/>
    <mergeCell ref="B47:D47"/>
    <mergeCell ref="B52:C52"/>
    <mergeCell ref="B133:D133"/>
    <mergeCell ref="B90:C90"/>
    <mergeCell ref="B103:C103"/>
    <mergeCell ref="B104:D104"/>
    <mergeCell ref="B68:D68"/>
    <mergeCell ref="B69:D69"/>
    <mergeCell ref="B94:D94"/>
    <mergeCell ref="B95:D95"/>
    <mergeCell ref="B96:D96"/>
    <mergeCell ref="D2:H2"/>
    <mergeCell ref="C11:G11"/>
    <mergeCell ref="C5:G5"/>
    <mergeCell ref="C6:G6"/>
    <mergeCell ref="C7:G7"/>
    <mergeCell ref="C9:G9"/>
    <mergeCell ref="C10:G10"/>
    <mergeCell ref="B105:D105"/>
    <mergeCell ref="B106:D106"/>
    <mergeCell ref="B30:D30"/>
    <mergeCell ref="B13:H13"/>
    <mergeCell ref="B31:D31"/>
    <mergeCell ref="B34:D34"/>
    <mergeCell ref="B41:C41"/>
  </mergeCells>
  <printOptions headings="1" gridLines="1"/>
  <pageMargins left="0.17" right="0.16" top="0.35" bottom="0.32" header="0.17" footer="0.17"/>
  <pageSetup scale="64" fitToHeight="4" orientation="landscape" r:id="rId1"/>
  <headerFooter alignWithMargins="0">
    <oddFooter>&amp;L&amp;Z&amp;F.xls&amp;C&amp;P of &amp;N&amp;R&amp;D</oddFooter>
  </headerFooter>
  <rowBreaks count="2" manualBreakCount="2">
    <brk id="35" max="10" man="1"/>
    <brk id="118"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sheetPr>
  <dimension ref="A1:K156"/>
  <sheetViews>
    <sheetView showGridLines="0" zoomScale="85" zoomScaleNormal="85" zoomScaleSheetLayoutView="80" workbookViewId="0">
      <selection activeCell="D2" sqref="D2:H2"/>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89" t="s">
        <v>617</v>
      </c>
      <c r="D5" s="437"/>
      <c r="E5" s="437"/>
      <c r="F5" s="437"/>
      <c r="G5" s="438"/>
    </row>
    <row r="6" spans="1:11" ht="18" customHeight="1" x14ac:dyDescent="0.2">
      <c r="B6" s="435" t="s">
        <v>3</v>
      </c>
      <c r="C6" s="439">
        <v>23</v>
      </c>
      <c r="D6" s="440"/>
      <c r="E6" s="440"/>
      <c r="F6" s="440"/>
      <c r="G6" s="441"/>
    </row>
    <row r="7" spans="1:11" ht="18" customHeight="1" x14ac:dyDescent="0.2">
      <c r="B7" s="435" t="s">
        <v>4</v>
      </c>
      <c r="C7" s="492">
        <v>4746</v>
      </c>
      <c r="D7" s="493"/>
      <c r="E7" s="493"/>
      <c r="F7" s="493"/>
      <c r="G7" s="494"/>
    </row>
    <row r="9" spans="1:11" ht="18" customHeight="1" x14ac:dyDescent="0.2">
      <c r="B9" s="435" t="s">
        <v>1</v>
      </c>
      <c r="C9" s="436" t="s">
        <v>235</v>
      </c>
      <c r="D9" s="437"/>
      <c r="E9" s="437"/>
      <c r="F9" s="437"/>
      <c r="G9" s="438"/>
    </row>
    <row r="10" spans="1:11" ht="18" customHeight="1" x14ac:dyDescent="0.2">
      <c r="B10" s="435" t="s">
        <v>2</v>
      </c>
      <c r="C10" s="445" t="s">
        <v>236</v>
      </c>
      <c r="D10" s="446"/>
      <c r="E10" s="446"/>
      <c r="F10" s="446"/>
      <c r="G10" s="447"/>
    </row>
    <row r="11" spans="1:11" ht="18" customHeight="1" x14ac:dyDescent="0.2">
      <c r="B11" s="435" t="s">
        <v>32</v>
      </c>
      <c r="C11" s="634" t="s">
        <v>618</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13488373</v>
      </c>
      <c r="I18" s="133">
        <v>0</v>
      </c>
      <c r="J18" s="118">
        <v>11400337</v>
      </c>
      <c r="K18" s="118">
        <f>(H18+I18)-J18</f>
        <v>2088036</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5807</v>
      </c>
      <c r="G21" s="221">
        <v>47715</v>
      </c>
      <c r="H21" s="118">
        <v>504850</v>
      </c>
      <c r="I21" s="133">
        <f t="shared" ref="I21:I34" si="0">H21*F$114</f>
        <v>279585.93</v>
      </c>
      <c r="J21" s="118"/>
      <c r="K21" s="118">
        <f t="shared" ref="K21:K34" si="1">(H21+I21)-J21</f>
        <v>784435.92999999993</v>
      </c>
    </row>
    <row r="22" spans="1:11" ht="18" customHeight="1" x14ac:dyDescent="0.2">
      <c r="A22" s="435" t="s">
        <v>76</v>
      </c>
      <c r="B22" s="259" t="s">
        <v>6</v>
      </c>
      <c r="F22" s="221">
        <v>1989</v>
      </c>
      <c r="G22" s="221">
        <v>3343</v>
      </c>
      <c r="H22" s="118">
        <v>149131</v>
      </c>
      <c r="I22" s="133">
        <f t="shared" si="0"/>
        <v>82588.747799999997</v>
      </c>
      <c r="J22" s="118"/>
      <c r="K22" s="118">
        <f t="shared" si="1"/>
        <v>231719.74780000001</v>
      </c>
    </row>
    <row r="23" spans="1:11" ht="18" customHeight="1" x14ac:dyDescent="0.2">
      <c r="A23" s="435" t="s">
        <v>77</v>
      </c>
      <c r="B23" s="259" t="s">
        <v>43</v>
      </c>
      <c r="F23" s="221">
        <v>3995</v>
      </c>
      <c r="G23" s="221">
        <v>6390</v>
      </c>
      <c r="H23" s="118">
        <v>230015</v>
      </c>
      <c r="I23" s="133">
        <f t="shared" si="0"/>
        <v>127382.30699999999</v>
      </c>
      <c r="J23" s="118">
        <v>73999</v>
      </c>
      <c r="K23" s="118">
        <f t="shared" si="1"/>
        <v>283398.30699999997</v>
      </c>
    </row>
    <row r="24" spans="1:11" ht="18" customHeight="1" x14ac:dyDescent="0.2">
      <c r="A24" s="435" t="s">
        <v>78</v>
      </c>
      <c r="B24" s="259" t="s">
        <v>44</v>
      </c>
      <c r="F24" s="221">
        <v>1097</v>
      </c>
      <c r="G24" s="221">
        <v>1361</v>
      </c>
      <c r="H24" s="118">
        <v>76940</v>
      </c>
      <c r="I24" s="133">
        <f t="shared" si="0"/>
        <v>42609.371999999996</v>
      </c>
      <c r="J24" s="118"/>
      <c r="K24" s="118">
        <f t="shared" si="1"/>
        <v>119549.372</v>
      </c>
    </row>
    <row r="25" spans="1:11" ht="18" customHeight="1" x14ac:dyDescent="0.2">
      <c r="A25" s="435" t="s">
        <v>79</v>
      </c>
      <c r="B25" s="259" t="s">
        <v>5</v>
      </c>
      <c r="F25" s="221">
        <v>4757</v>
      </c>
      <c r="G25" s="221">
        <v>8643</v>
      </c>
      <c r="H25" s="118">
        <v>141085</v>
      </c>
      <c r="I25" s="133">
        <f t="shared" si="0"/>
        <v>78132.872999999992</v>
      </c>
      <c r="J25" s="118"/>
      <c r="K25" s="118">
        <f t="shared" si="1"/>
        <v>219217.87299999999</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29604</v>
      </c>
      <c r="G29" s="221">
        <v>34180</v>
      </c>
      <c r="H29" s="118">
        <v>2384214</v>
      </c>
      <c r="I29" s="133">
        <f t="shared" si="0"/>
        <v>1320377.7131999999</v>
      </c>
      <c r="J29" s="118">
        <v>906682</v>
      </c>
      <c r="K29" s="118">
        <f t="shared" si="1"/>
        <v>2797909.7132000001</v>
      </c>
    </row>
    <row r="30" spans="1:11" ht="18" customHeight="1" x14ac:dyDescent="0.2">
      <c r="A30" s="435" t="s">
        <v>84</v>
      </c>
      <c r="B30" s="456" t="s">
        <v>237</v>
      </c>
      <c r="C30" s="457"/>
      <c r="D30" s="458"/>
      <c r="F30" s="221"/>
      <c r="G30" s="221">
        <v>432</v>
      </c>
      <c r="H30" s="118">
        <v>88827</v>
      </c>
      <c r="I30" s="133">
        <f t="shared" si="0"/>
        <v>49192.392599999999</v>
      </c>
      <c r="J30" s="118"/>
      <c r="K30" s="118">
        <f t="shared" si="1"/>
        <v>138019.39259999999</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47249</v>
      </c>
      <c r="G36" s="221">
        <f t="shared" si="2"/>
        <v>102064</v>
      </c>
      <c r="H36" s="221">
        <f t="shared" si="2"/>
        <v>3575062</v>
      </c>
      <c r="I36" s="118">
        <f t="shared" si="2"/>
        <v>1979869.3355999999</v>
      </c>
      <c r="J36" s="118">
        <f t="shared" si="2"/>
        <v>980681</v>
      </c>
      <c r="K36" s="118">
        <f t="shared" si="2"/>
        <v>4574250.3355999999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13104</v>
      </c>
      <c r="G40" s="221">
        <v>5778</v>
      </c>
      <c r="H40" s="118">
        <v>2594602</v>
      </c>
      <c r="I40" s="133">
        <v>0</v>
      </c>
      <c r="J40" s="118"/>
      <c r="K40" s="118">
        <f t="shared" ref="K40:K47" si="3">(H40+I40)-J40</f>
        <v>2594602</v>
      </c>
    </row>
    <row r="41" spans="1:11" ht="18" customHeight="1" x14ac:dyDescent="0.2">
      <c r="A41" s="435" t="s">
        <v>88</v>
      </c>
      <c r="B41" s="465" t="s">
        <v>50</v>
      </c>
      <c r="C41" s="466"/>
      <c r="F41" s="221">
        <v>76921</v>
      </c>
      <c r="G41" s="221">
        <v>793</v>
      </c>
      <c r="H41" s="118">
        <v>3669330</v>
      </c>
      <c r="I41" s="133">
        <v>0</v>
      </c>
      <c r="J41" s="118"/>
      <c r="K41" s="118">
        <f t="shared" si="3"/>
        <v>3669330</v>
      </c>
    </row>
    <row r="42" spans="1:11" ht="18" customHeight="1" x14ac:dyDescent="0.2">
      <c r="A42" s="435" t="s">
        <v>89</v>
      </c>
      <c r="B42" s="419" t="s">
        <v>11</v>
      </c>
      <c r="F42" s="221">
        <v>3980</v>
      </c>
      <c r="G42" s="221">
        <v>930</v>
      </c>
      <c r="H42" s="118">
        <v>127960</v>
      </c>
      <c r="I42" s="133">
        <v>0</v>
      </c>
      <c r="J42" s="118"/>
      <c r="K42" s="118">
        <f t="shared" si="3"/>
        <v>127960</v>
      </c>
    </row>
    <row r="43" spans="1:11" ht="18" customHeight="1" x14ac:dyDescent="0.2">
      <c r="A43" s="435" t="s">
        <v>90</v>
      </c>
      <c r="B43" s="467" t="s">
        <v>10</v>
      </c>
      <c r="C43" s="468"/>
      <c r="D43" s="468"/>
      <c r="F43" s="221"/>
      <c r="G43" s="221"/>
      <c r="H43" s="118">
        <v>52477</v>
      </c>
      <c r="I43" s="133">
        <v>0</v>
      </c>
      <c r="J43" s="118">
        <v>49550</v>
      </c>
      <c r="K43" s="118">
        <f t="shared" si="3"/>
        <v>2927</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94005</v>
      </c>
      <c r="G49" s="409">
        <f t="shared" si="4"/>
        <v>7501</v>
      </c>
      <c r="H49" s="118">
        <f t="shared" si="4"/>
        <v>6444369</v>
      </c>
      <c r="I49" s="118">
        <f t="shared" si="4"/>
        <v>0</v>
      </c>
      <c r="J49" s="118">
        <f t="shared" si="4"/>
        <v>49550</v>
      </c>
      <c r="K49" s="118">
        <f t="shared" si="4"/>
        <v>6394819</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10" t="s">
        <v>558</v>
      </c>
      <c r="C53" s="411"/>
      <c r="D53" s="412"/>
      <c r="F53" s="221"/>
      <c r="G53" s="221">
        <v>10848</v>
      </c>
      <c r="H53" s="118">
        <v>894218</v>
      </c>
      <c r="I53" s="133">
        <v>0</v>
      </c>
      <c r="J53" s="118"/>
      <c r="K53" s="118">
        <f t="shared" ref="K53:K62" si="5">(H53+I53)-J53</f>
        <v>894218</v>
      </c>
    </row>
    <row r="54" spans="1:11" ht="18" customHeight="1" x14ac:dyDescent="0.2">
      <c r="A54" s="435" t="s">
        <v>93</v>
      </c>
      <c r="B54" s="413" t="s">
        <v>559</v>
      </c>
      <c r="C54" s="414"/>
      <c r="D54" s="415"/>
      <c r="F54" s="221"/>
      <c r="G54" s="221"/>
      <c r="H54" s="118">
        <v>345921</v>
      </c>
      <c r="I54" s="133">
        <v>0</v>
      </c>
      <c r="J54" s="118"/>
      <c r="K54" s="118">
        <f t="shared" si="5"/>
        <v>345921</v>
      </c>
    </row>
    <row r="55" spans="1:11" ht="18" customHeight="1" x14ac:dyDescent="0.2">
      <c r="A55" s="435" t="s">
        <v>94</v>
      </c>
      <c r="B55" s="416" t="s">
        <v>560</v>
      </c>
      <c r="C55" s="417"/>
      <c r="D55" s="412"/>
      <c r="F55" s="221">
        <v>2680</v>
      </c>
      <c r="G55" s="221"/>
      <c r="H55" s="118">
        <v>143421</v>
      </c>
      <c r="I55" s="133">
        <v>0</v>
      </c>
      <c r="J55" s="118"/>
      <c r="K55" s="118">
        <f t="shared" si="5"/>
        <v>143421</v>
      </c>
    </row>
    <row r="56" spans="1:11" ht="18" customHeight="1" x14ac:dyDescent="0.2">
      <c r="A56" s="435" t="s">
        <v>95</v>
      </c>
      <c r="B56" s="416" t="s">
        <v>238</v>
      </c>
      <c r="C56" s="417"/>
      <c r="D56" s="412"/>
      <c r="F56" s="221"/>
      <c r="G56" s="221">
        <v>7350</v>
      </c>
      <c r="H56" s="118">
        <v>351188</v>
      </c>
      <c r="I56" s="133">
        <v>0</v>
      </c>
      <c r="J56" s="118"/>
      <c r="K56" s="118">
        <f t="shared" si="5"/>
        <v>351188</v>
      </c>
    </row>
    <row r="57" spans="1:11" ht="18" customHeight="1" x14ac:dyDescent="0.2">
      <c r="A57" s="435" t="s">
        <v>96</v>
      </c>
      <c r="B57" s="416" t="s">
        <v>239</v>
      </c>
      <c r="C57" s="417"/>
      <c r="D57" s="412"/>
      <c r="F57" s="221"/>
      <c r="G57" s="221">
        <v>1439</v>
      </c>
      <c r="H57" s="118">
        <v>320466</v>
      </c>
      <c r="I57" s="133">
        <v>0</v>
      </c>
      <c r="J57" s="118"/>
      <c r="K57" s="118">
        <f t="shared" si="5"/>
        <v>320466</v>
      </c>
    </row>
    <row r="58" spans="1:11" ht="18" customHeight="1" x14ac:dyDescent="0.2">
      <c r="A58" s="435" t="s">
        <v>97</v>
      </c>
      <c r="B58" s="413" t="s">
        <v>561</v>
      </c>
      <c r="C58" s="414"/>
      <c r="D58" s="415"/>
      <c r="F58" s="221"/>
      <c r="G58" s="221"/>
      <c r="H58" s="118">
        <v>28025</v>
      </c>
      <c r="I58" s="133">
        <v>0</v>
      </c>
      <c r="J58" s="118"/>
      <c r="K58" s="118">
        <f t="shared" si="5"/>
        <v>28025</v>
      </c>
    </row>
    <row r="59" spans="1:11" ht="18" customHeight="1" x14ac:dyDescent="0.2">
      <c r="A59" s="435" t="s">
        <v>98</v>
      </c>
      <c r="B59" s="416" t="s">
        <v>619</v>
      </c>
      <c r="C59" s="417"/>
      <c r="D59" s="412"/>
      <c r="F59" s="221"/>
      <c r="G59" s="221"/>
      <c r="H59" s="118">
        <v>23078511</v>
      </c>
      <c r="I59" s="133">
        <v>0</v>
      </c>
      <c r="J59" s="118"/>
      <c r="K59" s="118">
        <f t="shared" si="5"/>
        <v>23078511</v>
      </c>
    </row>
    <row r="60" spans="1:11" ht="18" customHeight="1" x14ac:dyDescent="0.2">
      <c r="A60" s="435" t="s">
        <v>99</v>
      </c>
      <c r="B60" s="413" t="s">
        <v>620</v>
      </c>
      <c r="C60" s="414"/>
      <c r="D60" s="415"/>
      <c r="F60" s="221"/>
      <c r="G60" s="221"/>
      <c r="H60" s="118">
        <v>4150381</v>
      </c>
      <c r="I60" s="133">
        <v>0</v>
      </c>
      <c r="J60" s="118"/>
      <c r="K60" s="118">
        <f t="shared" si="5"/>
        <v>4150381</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2680</v>
      </c>
      <c r="G64" s="221">
        <f t="shared" si="6"/>
        <v>19637</v>
      </c>
      <c r="H64" s="118">
        <f t="shared" si="6"/>
        <v>29312131</v>
      </c>
      <c r="I64" s="118">
        <f t="shared" si="6"/>
        <v>0</v>
      </c>
      <c r="J64" s="118">
        <f t="shared" si="6"/>
        <v>0</v>
      </c>
      <c r="K64" s="118">
        <f t="shared" si="6"/>
        <v>29312131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27933</v>
      </c>
      <c r="G68" s="122">
        <v>673</v>
      </c>
      <c r="H68" s="122">
        <v>2139161</v>
      </c>
      <c r="I68" s="133">
        <v>0</v>
      </c>
      <c r="J68" s="122">
        <v>1329587</v>
      </c>
      <c r="K68" s="118">
        <f>(H68+I68)-J68</f>
        <v>809574</v>
      </c>
    </row>
    <row r="69" spans="1:11" ht="18" customHeight="1" x14ac:dyDescent="0.2">
      <c r="A69" s="435" t="s">
        <v>104</v>
      </c>
      <c r="B69" s="419" t="s">
        <v>53</v>
      </c>
      <c r="F69" s="122">
        <v>8860</v>
      </c>
      <c r="G69" s="122">
        <v>2050</v>
      </c>
      <c r="H69" s="122">
        <v>336680</v>
      </c>
      <c r="I69" s="133">
        <v>0</v>
      </c>
      <c r="J69" s="122"/>
      <c r="K69" s="118">
        <f>(H69+I69)-J69</f>
        <v>336680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36793</v>
      </c>
      <c r="G74" s="122">
        <f t="shared" si="7"/>
        <v>2723</v>
      </c>
      <c r="H74" s="122">
        <f t="shared" si="7"/>
        <v>2475841</v>
      </c>
      <c r="I74" s="133">
        <f t="shared" si="7"/>
        <v>0</v>
      </c>
      <c r="J74" s="122">
        <f t="shared" si="7"/>
        <v>1329587</v>
      </c>
      <c r="K74" s="118">
        <f t="shared" si="7"/>
        <v>1146254</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143600</v>
      </c>
      <c r="I77" s="133">
        <v>0</v>
      </c>
      <c r="J77" s="118"/>
      <c r="K77" s="118">
        <f>(H77+I77)-J77</f>
        <v>143600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1231</v>
      </c>
      <c r="G79" s="221">
        <v>5085</v>
      </c>
      <c r="H79" s="118">
        <v>437440</v>
      </c>
      <c r="I79" s="133">
        <v>0</v>
      </c>
      <c r="J79" s="118"/>
      <c r="K79" s="118">
        <f>(H79+I79)-J79</f>
        <v>437440</v>
      </c>
    </row>
    <row r="80" spans="1:11" ht="18" customHeight="1" x14ac:dyDescent="0.2">
      <c r="A80" s="435" t="s">
        <v>110</v>
      </c>
      <c r="B80" s="419" t="s">
        <v>56</v>
      </c>
      <c r="F80" s="221">
        <v>2080</v>
      </c>
      <c r="G80" s="221">
        <v>5000</v>
      </c>
      <c r="H80" s="118">
        <v>73112</v>
      </c>
      <c r="I80" s="133">
        <v>0</v>
      </c>
      <c r="J80" s="118"/>
      <c r="K80" s="118">
        <f>(H80+I80)-J80</f>
        <v>73112</v>
      </c>
    </row>
    <row r="81" spans="1:11" ht="18" customHeight="1" x14ac:dyDescent="0.2">
      <c r="A81" s="435"/>
      <c r="K81" s="428"/>
    </row>
    <row r="82" spans="1:11" ht="18" customHeight="1" x14ac:dyDescent="0.2">
      <c r="A82" s="435" t="s">
        <v>148</v>
      </c>
      <c r="B82" s="421" t="s">
        <v>149</v>
      </c>
      <c r="E82" s="421" t="s">
        <v>7</v>
      </c>
      <c r="F82" s="122">
        <f t="shared" ref="F82:K82" si="8">SUM(F77:F80)</f>
        <v>3311</v>
      </c>
      <c r="G82" s="122">
        <f t="shared" si="8"/>
        <v>10085</v>
      </c>
      <c r="H82" s="118">
        <f t="shared" si="8"/>
        <v>654152</v>
      </c>
      <c r="I82" s="118">
        <f t="shared" si="8"/>
        <v>0</v>
      </c>
      <c r="J82" s="118">
        <f t="shared" si="8"/>
        <v>0</v>
      </c>
      <c r="K82" s="118">
        <f t="shared" si="8"/>
        <v>654152</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v>292</v>
      </c>
      <c r="G87" s="221">
        <v>2880</v>
      </c>
      <c r="H87" s="118">
        <v>14540</v>
      </c>
      <c r="I87" s="133">
        <f t="shared" si="9"/>
        <v>8052.2519999999995</v>
      </c>
      <c r="J87" s="118"/>
      <c r="K87" s="118">
        <f t="shared" si="10"/>
        <v>22592.252</v>
      </c>
    </row>
    <row r="88" spans="1:11" ht="18" customHeight="1" x14ac:dyDescent="0.2">
      <c r="A88" s="435" t="s">
        <v>115</v>
      </c>
      <c r="B88" s="419" t="s">
        <v>116</v>
      </c>
      <c r="F88" s="221">
        <v>677</v>
      </c>
      <c r="G88" s="221">
        <v>534</v>
      </c>
      <c r="H88" s="118">
        <v>20310</v>
      </c>
      <c r="I88" s="133">
        <f t="shared" si="9"/>
        <v>11247.678</v>
      </c>
      <c r="J88" s="118"/>
      <c r="K88" s="118">
        <f t="shared" si="10"/>
        <v>31557.678</v>
      </c>
    </row>
    <row r="89" spans="1:11" ht="18" customHeight="1" x14ac:dyDescent="0.2">
      <c r="A89" s="435" t="s">
        <v>117</v>
      </c>
      <c r="B89" s="419" t="s">
        <v>58</v>
      </c>
      <c r="F89" s="221">
        <v>366</v>
      </c>
      <c r="G89" s="221">
        <v>151</v>
      </c>
      <c r="H89" s="118">
        <v>25673</v>
      </c>
      <c r="I89" s="133">
        <f t="shared" si="9"/>
        <v>14217.707399999999</v>
      </c>
      <c r="J89" s="118"/>
      <c r="K89" s="118">
        <f t="shared" si="10"/>
        <v>39890.707399999999</v>
      </c>
    </row>
    <row r="90" spans="1:11" ht="18" customHeight="1" x14ac:dyDescent="0.2">
      <c r="A90" s="435" t="s">
        <v>118</v>
      </c>
      <c r="B90" s="465" t="s">
        <v>59</v>
      </c>
      <c r="C90" s="466"/>
      <c r="F90" s="221">
        <v>2870</v>
      </c>
      <c r="G90" s="221">
        <v>652</v>
      </c>
      <c r="H90" s="118">
        <v>94950</v>
      </c>
      <c r="I90" s="133">
        <f t="shared" si="9"/>
        <v>52583.31</v>
      </c>
      <c r="J90" s="118"/>
      <c r="K90" s="118">
        <f t="shared" si="10"/>
        <v>147533.31</v>
      </c>
    </row>
    <row r="91" spans="1:11" ht="18" customHeight="1" x14ac:dyDescent="0.2">
      <c r="A91" s="435" t="s">
        <v>119</v>
      </c>
      <c r="B91" s="419" t="s">
        <v>60</v>
      </c>
      <c r="F91" s="221">
        <v>2868</v>
      </c>
      <c r="G91" s="221">
        <v>1565</v>
      </c>
      <c r="H91" s="118">
        <v>163836</v>
      </c>
      <c r="I91" s="133">
        <f t="shared" si="9"/>
        <v>90732.376799999998</v>
      </c>
      <c r="J91" s="118"/>
      <c r="K91" s="118">
        <f t="shared" si="10"/>
        <v>254568.3768</v>
      </c>
    </row>
    <row r="92" spans="1:11" ht="18" customHeight="1" x14ac:dyDescent="0.2">
      <c r="A92" s="435" t="s">
        <v>120</v>
      </c>
      <c r="B92" s="419" t="s">
        <v>121</v>
      </c>
      <c r="F92" s="257">
        <v>599</v>
      </c>
      <c r="G92" s="257">
        <v>708</v>
      </c>
      <c r="H92" s="429">
        <v>35115</v>
      </c>
      <c r="I92" s="133">
        <f t="shared" si="9"/>
        <v>19446.686999999998</v>
      </c>
      <c r="J92" s="429"/>
      <c r="K92" s="118">
        <f t="shared" si="10"/>
        <v>54561.686999999998</v>
      </c>
    </row>
    <row r="93" spans="1:11" ht="18" customHeight="1" x14ac:dyDescent="0.2">
      <c r="A93" s="435" t="s">
        <v>122</v>
      </c>
      <c r="B93" s="419" t="s">
        <v>123</v>
      </c>
      <c r="F93" s="221">
        <v>939</v>
      </c>
      <c r="G93" s="221">
        <v>213</v>
      </c>
      <c r="H93" s="118">
        <v>109978</v>
      </c>
      <c r="I93" s="133">
        <f t="shared" si="9"/>
        <v>60905.816399999996</v>
      </c>
      <c r="J93" s="118"/>
      <c r="K93" s="118">
        <f t="shared" si="10"/>
        <v>170883.81640000001</v>
      </c>
    </row>
    <row r="94" spans="1:11" ht="18" customHeight="1" x14ac:dyDescent="0.2">
      <c r="A94" s="435" t="s">
        <v>124</v>
      </c>
      <c r="B94" s="416" t="s">
        <v>621</v>
      </c>
      <c r="C94" s="417"/>
      <c r="D94" s="412"/>
      <c r="F94" s="221">
        <v>11737</v>
      </c>
      <c r="G94" s="221">
        <v>108840</v>
      </c>
      <c r="H94" s="118">
        <v>223003</v>
      </c>
      <c r="I94" s="133">
        <f t="shared" si="9"/>
        <v>123499.06139999999</v>
      </c>
      <c r="J94" s="118"/>
      <c r="K94" s="118">
        <f t="shared" si="10"/>
        <v>346502.06140000001</v>
      </c>
    </row>
    <row r="95" spans="1:11" ht="18" customHeight="1" x14ac:dyDescent="0.2">
      <c r="A95" s="435" t="s">
        <v>125</v>
      </c>
      <c r="B95" s="416" t="s">
        <v>241</v>
      </c>
      <c r="C95" s="417"/>
      <c r="D95" s="412"/>
      <c r="F95" s="221">
        <v>210</v>
      </c>
      <c r="G95" s="221">
        <v>158</v>
      </c>
      <c r="H95" s="118">
        <v>12300</v>
      </c>
      <c r="I95" s="133">
        <f t="shared" si="9"/>
        <v>6811.74</v>
      </c>
      <c r="J95" s="118"/>
      <c r="K95" s="118">
        <f t="shared" si="10"/>
        <v>19111.739999999998</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20558</v>
      </c>
      <c r="G98" s="221">
        <f t="shared" si="11"/>
        <v>115701</v>
      </c>
      <c r="H98" s="221">
        <f t="shared" si="11"/>
        <v>699705</v>
      </c>
      <c r="I98" s="221">
        <f t="shared" si="11"/>
        <v>387496.62900000002</v>
      </c>
      <c r="J98" s="221">
        <f t="shared" si="11"/>
        <v>0</v>
      </c>
      <c r="K98" s="221">
        <f t="shared" si="11"/>
        <v>1087201.629</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958</v>
      </c>
      <c r="G102" s="221">
        <v>350</v>
      </c>
      <c r="H102" s="118">
        <v>57048</v>
      </c>
      <c r="I102" s="133">
        <f>H102*F$114</f>
        <v>31593.182399999998</v>
      </c>
      <c r="J102" s="118"/>
      <c r="K102" s="118">
        <f>(H102+I102)-J102</f>
        <v>88641.182399999991</v>
      </c>
    </row>
    <row r="103" spans="1:11" ht="18" customHeight="1" x14ac:dyDescent="0.2">
      <c r="A103" s="435" t="s">
        <v>132</v>
      </c>
      <c r="B103" s="465" t="s">
        <v>62</v>
      </c>
      <c r="C103" s="465"/>
      <c r="F103" s="221">
        <v>319</v>
      </c>
      <c r="G103" s="221">
        <v>50</v>
      </c>
      <c r="H103" s="118">
        <v>18599</v>
      </c>
      <c r="I103" s="133">
        <f>H103*F$114</f>
        <v>10300.126199999999</v>
      </c>
      <c r="J103" s="118"/>
      <c r="K103" s="118">
        <f>(H103+I103)-J103</f>
        <v>28899.126199999999</v>
      </c>
    </row>
    <row r="104" spans="1:11" ht="18" customHeight="1" x14ac:dyDescent="0.2">
      <c r="A104" s="435" t="s">
        <v>128</v>
      </c>
      <c r="B104" s="416" t="s">
        <v>562</v>
      </c>
      <c r="C104" s="417"/>
      <c r="D104" s="412"/>
      <c r="F104" s="221">
        <v>2000</v>
      </c>
      <c r="G104" s="221">
        <v>500</v>
      </c>
      <c r="H104" s="118">
        <v>633000</v>
      </c>
      <c r="I104" s="133">
        <f>H104*F$114</f>
        <v>350555.39999999997</v>
      </c>
      <c r="J104" s="118"/>
      <c r="K104" s="118">
        <f>(H104+I104)-J104</f>
        <v>983555.39999999991</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3277</v>
      </c>
      <c r="G108" s="221">
        <f t="shared" si="12"/>
        <v>900</v>
      </c>
      <c r="H108" s="118">
        <f t="shared" si="12"/>
        <v>708647</v>
      </c>
      <c r="I108" s="118">
        <f t="shared" si="12"/>
        <v>392448.70859999995</v>
      </c>
      <c r="J108" s="118">
        <f t="shared" si="12"/>
        <v>0</v>
      </c>
      <c r="K108" s="118">
        <f t="shared" si="12"/>
        <v>1101095.7086</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3923800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0.55379999999999996</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583938000</v>
      </c>
    </row>
    <row r="118" spans="1:6" ht="18" customHeight="1" x14ac:dyDescent="0.2">
      <c r="A118" s="435" t="s">
        <v>173</v>
      </c>
      <c r="B118" s="259" t="s">
        <v>18</v>
      </c>
      <c r="F118" s="118">
        <v>10967000</v>
      </c>
    </row>
    <row r="119" spans="1:6" ht="18" customHeight="1" x14ac:dyDescent="0.2">
      <c r="A119" s="435" t="s">
        <v>174</v>
      </c>
      <c r="B119" s="421" t="s">
        <v>19</v>
      </c>
      <c r="F119" s="118">
        <f>SUM(F117:F118)</f>
        <v>594905000</v>
      </c>
    </row>
    <row r="120" spans="1:6" ht="18" customHeight="1" x14ac:dyDescent="0.2">
      <c r="A120" s="435"/>
      <c r="B120" s="421"/>
    </row>
    <row r="121" spans="1:6" ht="18" customHeight="1" x14ac:dyDescent="0.2">
      <c r="A121" s="435" t="s">
        <v>167</v>
      </c>
      <c r="B121" s="421" t="s">
        <v>36</v>
      </c>
      <c r="F121" s="118">
        <v>558534000</v>
      </c>
    </row>
    <row r="122" spans="1:6" ht="18" customHeight="1" x14ac:dyDescent="0.2">
      <c r="A122" s="435"/>
    </row>
    <row r="123" spans="1:6" ht="18" customHeight="1" x14ac:dyDescent="0.2">
      <c r="A123" s="435" t="s">
        <v>175</v>
      </c>
      <c r="B123" s="421" t="s">
        <v>20</v>
      </c>
      <c r="F123" s="118">
        <v>36371000</v>
      </c>
    </row>
    <row r="124" spans="1:6" ht="18" customHeight="1" x14ac:dyDescent="0.2">
      <c r="A124" s="435"/>
    </row>
    <row r="125" spans="1:6" ht="18" customHeight="1" x14ac:dyDescent="0.2">
      <c r="A125" s="435" t="s">
        <v>176</v>
      </c>
      <c r="B125" s="421" t="s">
        <v>21</v>
      </c>
      <c r="F125" s="118">
        <v>21367000</v>
      </c>
    </row>
    <row r="126" spans="1:6" ht="18" customHeight="1" x14ac:dyDescent="0.2">
      <c r="A126" s="435"/>
    </row>
    <row r="127" spans="1:6" ht="18" customHeight="1" x14ac:dyDescent="0.2">
      <c r="A127" s="435" t="s">
        <v>177</v>
      </c>
      <c r="B127" s="421" t="s">
        <v>22</v>
      </c>
      <c r="F127" s="118">
        <v>57738000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47249</v>
      </c>
      <c r="G141" s="422">
        <f t="shared" si="14"/>
        <v>102064</v>
      </c>
      <c r="H141" s="422">
        <f t="shared" si="14"/>
        <v>3575062</v>
      </c>
      <c r="I141" s="422">
        <f t="shared" si="14"/>
        <v>1979869.3355999999</v>
      </c>
      <c r="J141" s="422">
        <f t="shared" si="14"/>
        <v>980681</v>
      </c>
      <c r="K141" s="422">
        <f t="shared" si="14"/>
        <v>4574250.3355999999</v>
      </c>
    </row>
    <row r="142" spans="1:11" ht="18" customHeight="1" x14ac:dyDescent="0.2">
      <c r="A142" s="435" t="s">
        <v>142</v>
      </c>
      <c r="B142" s="421" t="s">
        <v>65</v>
      </c>
      <c r="F142" s="422">
        <f t="shared" ref="F142:K142" si="15">F49</f>
        <v>94005</v>
      </c>
      <c r="G142" s="422">
        <f t="shared" si="15"/>
        <v>7501</v>
      </c>
      <c r="H142" s="422">
        <f t="shared" si="15"/>
        <v>6444369</v>
      </c>
      <c r="I142" s="422">
        <f t="shared" si="15"/>
        <v>0</v>
      </c>
      <c r="J142" s="422">
        <f t="shared" si="15"/>
        <v>49550</v>
      </c>
      <c r="K142" s="422">
        <f t="shared" si="15"/>
        <v>6394819</v>
      </c>
    </row>
    <row r="143" spans="1:11" ht="18" customHeight="1" x14ac:dyDescent="0.2">
      <c r="A143" s="435" t="s">
        <v>144</v>
      </c>
      <c r="B143" s="421" t="s">
        <v>66</v>
      </c>
      <c r="F143" s="422">
        <f t="shared" ref="F143:K143" si="16">F64</f>
        <v>2680</v>
      </c>
      <c r="G143" s="422">
        <f t="shared" si="16"/>
        <v>19637</v>
      </c>
      <c r="H143" s="422">
        <f t="shared" si="16"/>
        <v>29312131</v>
      </c>
      <c r="I143" s="422">
        <f t="shared" si="16"/>
        <v>0</v>
      </c>
      <c r="J143" s="422">
        <f t="shared" si="16"/>
        <v>0</v>
      </c>
      <c r="K143" s="422">
        <f t="shared" si="16"/>
        <v>29312131</v>
      </c>
    </row>
    <row r="144" spans="1:11" ht="18" customHeight="1" x14ac:dyDescent="0.2">
      <c r="A144" s="435" t="s">
        <v>146</v>
      </c>
      <c r="B144" s="421" t="s">
        <v>67</v>
      </c>
      <c r="F144" s="422">
        <f t="shared" ref="F144:K144" si="17">F74</f>
        <v>36793</v>
      </c>
      <c r="G144" s="422">
        <f t="shared" si="17"/>
        <v>2723</v>
      </c>
      <c r="H144" s="422">
        <f t="shared" si="17"/>
        <v>2475841</v>
      </c>
      <c r="I144" s="422">
        <f t="shared" si="17"/>
        <v>0</v>
      </c>
      <c r="J144" s="422">
        <f t="shared" si="17"/>
        <v>1329587</v>
      </c>
      <c r="K144" s="422">
        <f t="shared" si="17"/>
        <v>1146254</v>
      </c>
    </row>
    <row r="145" spans="1:11" ht="18" customHeight="1" x14ac:dyDescent="0.2">
      <c r="A145" s="435" t="s">
        <v>148</v>
      </c>
      <c r="B145" s="421" t="s">
        <v>68</v>
      </c>
      <c r="F145" s="422">
        <f t="shared" ref="F145:K145" si="18">F82</f>
        <v>3311</v>
      </c>
      <c r="G145" s="422">
        <f t="shared" si="18"/>
        <v>10085</v>
      </c>
      <c r="H145" s="422">
        <f t="shared" si="18"/>
        <v>654152</v>
      </c>
      <c r="I145" s="422">
        <f t="shared" si="18"/>
        <v>0</v>
      </c>
      <c r="J145" s="422">
        <f t="shared" si="18"/>
        <v>0</v>
      </c>
      <c r="K145" s="422">
        <f t="shared" si="18"/>
        <v>654152</v>
      </c>
    </row>
    <row r="146" spans="1:11" ht="18" customHeight="1" x14ac:dyDescent="0.2">
      <c r="A146" s="435" t="s">
        <v>150</v>
      </c>
      <c r="B146" s="421" t="s">
        <v>69</v>
      </c>
      <c r="F146" s="422">
        <f t="shared" ref="F146:K146" si="19">F98</f>
        <v>20558</v>
      </c>
      <c r="G146" s="422">
        <f t="shared" si="19"/>
        <v>115701</v>
      </c>
      <c r="H146" s="422">
        <f t="shared" si="19"/>
        <v>699705</v>
      </c>
      <c r="I146" s="422">
        <f t="shared" si="19"/>
        <v>387496.62900000002</v>
      </c>
      <c r="J146" s="422">
        <f t="shared" si="19"/>
        <v>0</v>
      </c>
      <c r="K146" s="422">
        <f t="shared" si="19"/>
        <v>1087201.629</v>
      </c>
    </row>
    <row r="147" spans="1:11" ht="18" customHeight="1" x14ac:dyDescent="0.2">
      <c r="A147" s="435" t="s">
        <v>153</v>
      </c>
      <c r="B147" s="421" t="s">
        <v>61</v>
      </c>
      <c r="F147" s="221">
        <f t="shared" ref="F147:K147" si="20">F108</f>
        <v>3277</v>
      </c>
      <c r="G147" s="221">
        <f t="shared" si="20"/>
        <v>900</v>
      </c>
      <c r="H147" s="221">
        <f t="shared" si="20"/>
        <v>708647</v>
      </c>
      <c r="I147" s="221">
        <f t="shared" si="20"/>
        <v>392448.70859999995</v>
      </c>
      <c r="J147" s="221">
        <f t="shared" si="20"/>
        <v>0</v>
      </c>
      <c r="K147" s="221">
        <f t="shared" si="20"/>
        <v>1101095.7086</v>
      </c>
    </row>
    <row r="148" spans="1:11" ht="18" customHeight="1" x14ac:dyDescent="0.2">
      <c r="A148" s="435" t="s">
        <v>155</v>
      </c>
      <c r="B148" s="421" t="s">
        <v>70</v>
      </c>
      <c r="F148" s="485" t="s">
        <v>73</v>
      </c>
      <c r="G148" s="485" t="s">
        <v>73</v>
      </c>
      <c r="H148" s="486" t="s">
        <v>73</v>
      </c>
      <c r="I148" s="486" t="s">
        <v>73</v>
      </c>
      <c r="J148" s="486" t="s">
        <v>73</v>
      </c>
      <c r="K148" s="423">
        <f>F111</f>
        <v>3923800</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13488373</v>
      </c>
      <c r="I150" s="221">
        <f>I18</f>
        <v>0</v>
      </c>
      <c r="J150" s="221">
        <f>J18</f>
        <v>11400337</v>
      </c>
      <c r="K150" s="221">
        <f>K18</f>
        <v>2088036</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207873</v>
      </c>
      <c r="G152" s="487">
        <f t="shared" si="22"/>
        <v>258611</v>
      </c>
      <c r="H152" s="487">
        <f t="shared" si="22"/>
        <v>57358280</v>
      </c>
      <c r="I152" s="487">
        <f t="shared" si="22"/>
        <v>2759814.6732000001</v>
      </c>
      <c r="J152" s="487">
        <f t="shared" si="22"/>
        <v>13760155</v>
      </c>
      <c r="K152" s="487">
        <f t="shared" si="22"/>
        <v>50281739.673200004</v>
      </c>
    </row>
    <row r="154" spans="1:11" ht="18" customHeight="1" x14ac:dyDescent="0.2">
      <c r="A154" s="455" t="s">
        <v>168</v>
      </c>
      <c r="B154" s="421" t="s">
        <v>28</v>
      </c>
      <c r="F154" s="140">
        <f>K152/F121</f>
        <v>9.0024492104688353E-2</v>
      </c>
    </row>
    <row r="155" spans="1:11" ht="18" customHeight="1" x14ac:dyDescent="0.2">
      <c r="A155" s="455" t="s">
        <v>169</v>
      </c>
      <c r="B155" s="421" t="s">
        <v>72</v>
      </c>
      <c r="F155" s="140">
        <f>K152/F127</f>
        <v>0.8708604328726316</v>
      </c>
      <c r="G155" s="421"/>
    </row>
    <row r="156" spans="1:11" ht="18" customHeight="1" x14ac:dyDescent="0.2">
      <c r="G156" s="421"/>
    </row>
  </sheetData>
  <sheetProtection algorithmName="SHA-512" hashValue="eACiFxNPQcgympx1VWzNN6cJ9to51ghh9VH8xxJY0IXgrU+xG4csInJaHxU1pOn3qSDtWFWCBFBsWiKeue+XRg==" saltValue="4BIyJWK1bQcL1+yOKb8Iqw==" spinCount="100000" sheet="1" objects="1" scenarios="1"/>
  <mergeCells count="34">
    <mergeCell ref="B135:D135"/>
    <mergeCell ref="B104:D104"/>
    <mergeCell ref="B105:D105"/>
    <mergeCell ref="B106:D106"/>
    <mergeCell ref="B133:D133"/>
    <mergeCell ref="B134:D134"/>
    <mergeCell ref="B90:C90"/>
    <mergeCell ref="B94:D94"/>
    <mergeCell ref="B95:D95"/>
    <mergeCell ref="B96:D96"/>
    <mergeCell ref="B103:C103"/>
    <mergeCell ref="B55:D55"/>
    <mergeCell ref="B56:D56"/>
    <mergeCell ref="B57:D57"/>
    <mergeCell ref="B59:D59"/>
    <mergeCell ref="B62:D62"/>
    <mergeCell ref="D2:H2"/>
    <mergeCell ref="B13:H13"/>
    <mergeCell ref="B30:D30"/>
    <mergeCell ref="B31:D31"/>
    <mergeCell ref="B34:D34"/>
    <mergeCell ref="B52:C52"/>
    <mergeCell ref="B53:D53"/>
    <mergeCell ref="C5:G5"/>
    <mergeCell ref="C6:G6"/>
    <mergeCell ref="C9:G9"/>
    <mergeCell ref="C10:G10"/>
    <mergeCell ref="C11:G11"/>
    <mergeCell ref="C7:G7"/>
    <mergeCell ref="B41:C41"/>
    <mergeCell ref="B44:D44"/>
    <mergeCell ref="B45:D45"/>
    <mergeCell ref="B46:D46"/>
    <mergeCell ref="B47:D47"/>
  </mergeCells>
  <hyperlinks>
    <hyperlink ref="C11" r:id="rId1"/>
  </hyperlinks>
  <printOptions headings="1" gridLines="1"/>
  <pageMargins left="0.25" right="0.25" top="0.75" bottom="0.75" header="0.3" footer="0.3"/>
  <pageSetup scale="59" fitToHeight="3" orientation="landscape" r:id="rId2"/>
  <headerFooter alignWithMargins="0">
    <oddHeader>&amp;RPage &amp;P</oddHeader>
    <oddFooter>&amp;L&amp;Z&amp;F&amp;C&amp;P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P162"/>
  <sheetViews>
    <sheetView zoomScale="90" zoomScaleNormal="9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2" width="4.7109375" style="703" customWidth="1"/>
    <col min="13" max="13" width="23.5703125" style="259" customWidth="1"/>
    <col min="14" max="14" width="15.140625" style="611" bestFit="1" customWidth="1"/>
    <col min="15" max="15" width="13.85546875" style="611" bestFit="1" customWidth="1"/>
    <col min="16" max="16" width="104.140625" style="259" bestFit="1" customWidth="1"/>
    <col min="17" max="16384" width="9.140625" style="259"/>
  </cols>
  <sheetData>
    <row r="1" spans="1:16" ht="18" customHeight="1" x14ac:dyDescent="0.2">
      <c r="C1" s="431"/>
      <c r="D1" s="432"/>
      <c r="E1" s="431"/>
      <c r="F1" s="431"/>
      <c r="G1" s="431"/>
      <c r="H1" s="431"/>
      <c r="I1" s="431"/>
      <c r="J1" s="431"/>
      <c r="K1" s="431"/>
    </row>
    <row r="2" spans="1:16" ht="18" customHeight="1" x14ac:dyDescent="0.25">
      <c r="D2" s="433" t="s">
        <v>612</v>
      </c>
      <c r="E2" s="434"/>
      <c r="F2" s="434"/>
      <c r="G2" s="434"/>
      <c r="H2" s="434"/>
    </row>
    <row r="3" spans="1:16" ht="18" customHeight="1" x14ac:dyDescent="0.2">
      <c r="B3" s="421" t="s">
        <v>0</v>
      </c>
    </row>
    <row r="5" spans="1:16" ht="18" customHeight="1" x14ac:dyDescent="0.2">
      <c r="B5" s="435" t="s">
        <v>40</v>
      </c>
      <c r="C5" s="436" t="s">
        <v>452</v>
      </c>
      <c r="D5" s="437"/>
      <c r="E5" s="437"/>
      <c r="F5" s="437"/>
      <c r="G5" s="438"/>
    </row>
    <row r="6" spans="1:16" ht="18" customHeight="1" x14ac:dyDescent="0.2">
      <c r="B6" s="435" t="s">
        <v>3</v>
      </c>
      <c r="C6" s="439">
        <v>24</v>
      </c>
      <c r="D6" s="440"/>
      <c r="E6" s="440"/>
      <c r="F6" s="440"/>
      <c r="G6" s="441"/>
      <c r="H6" s="656"/>
      <c r="M6" s="656"/>
      <c r="N6" s="704"/>
      <c r="O6" s="704"/>
      <c r="P6" s="656"/>
    </row>
    <row r="7" spans="1:16" ht="18" customHeight="1" x14ac:dyDescent="0.25">
      <c r="B7" s="435" t="s">
        <v>4</v>
      </c>
      <c r="C7" s="492">
        <v>2263</v>
      </c>
      <c r="D7" s="493"/>
      <c r="E7" s="493"/>
      <c r="F7" s="493"/>
      <c r="G7" s="494"/>
      <c r="H7" s="656"/>
      <c r="M7" s="258"/>
      <c r="N7" s="705"/>
      <c r="O7" s="706"/>
      <c r="P7" s="707"/>
    </row>
    <row r="8" spans="1:16" ht="18" customHeight="1" x14ac:dyDescent="0.25">
      <c r="M8" s="258"/>
      <c r="N8" s="705"/>
      <c r="O8" s="706"/>
      <c r="P8" s="707"/>
    </row>
    <row r="9" spans="1:16" ht="18" customHeight="1" x14ac:dyDescent="0.2">
      <c r="B9" s="435" t="s">
        <v>1</v>
      </c>
      <c r="C9" s="436" t="s">
        <v>500</v>
      </c>
      <c r="D9" s="437"/>
      <c r="E9" s="437"/>
      <c r="F9" s="437"/>
      <c r="G9" s="438"/>
      <c r="M9" s="656"/>
      <c r="N9" s="704"/>
      <c r="O9" s="704"/>
      <c r="P9" s="656"/>
    </row>
    <row r="10" spans="1:16" ht="18" customHeight="1" x14ac:dyDescent="0.2">
      <c r="B10" s="435" t="s">
        <v>2</v>
      </c>
      <c r="C10" s="445" t="s">
        <v>501</v>
      </c>
      <c r="D10" s="446"/>
      <c r="E10" s="446"/>
      <c r="F10" s="446"/>
      <c r="G10" s="447"/>
      <c r="M10" s="656"/>
      <c r="N10" s="704"/>
      <c r="O10" s="704"/>
      <c r="P10" s="656"/>
    </row>
    <row r="11" spans="1:16" ht="18" customHeight="1" x14ac:dyDescent="0.25">
      <c r="B11" s="435" t="s">
        <v>32</v>
      </c>
      <c r="C11" s="708" t="s">
        <v>698</v>
      </c>
      <c r="D11" s="448"/>
      <c r="E11" s="448"/>
      <c r="F11" s="448"/>
      <c r="G11" s="448"/>
    </row>
    <row r="12" spans="1:16" ht="18" customHeight="1" x14ac:dyDescent="0.2">
      <c r="B12" s="435"/>
      <c r="C12" s="435"/>
      <c r="D12" s="435"/>
      <c r="E12" s="435"/>
      <c r="F12" s="435"/>
      <c r="G12" s="435"/>
    </row>
    <row r="13" spans="1:16" ht="24.6" customHeight="1" x14ac:dyDescent="0.2">
      <c r="B13" s="450"/>
      <c r="C13" s="451"/>
      <c r="D13" s="451"/>
      <c r="E13" s="451"/>
      <c r="F13" s="451"/>
      <c r="G13" s="451"/>
      <c r="H13" s="452"/>
      <c r="I13" s="431"/>
    </row>
    <row r="14" spans="1:16" ht="18" customHeight="1" x14ac:dyDescent="0.2">
      <c r="B14" s="453"/>
    </row>
    <row r="15" spans="1:16" ht="18" customHeight="1" x14ac:dyDescent="0.2">
      <c r="B15" s="453"/>
    </row>
    <row r="16" spans="1:16" ht="45" customHeight="1" x14ac:dyDescent="0.2">
      <c r="A16" s="432" t="s">
        <v>181</v>
      </c>
      <c r="B16" s="431"/>
      <c r="C16" s="431"/>
      <c r="D16" s="431"/>
      <c r="E16" s="431"/>
      <c r="F16" s="454" t="s">
        <v>9</v>
      </c>
      <c r="G16" s="454" t="s">
        <v>37</v>
      </c>
      <c r="H16" s="454" t="s">
        <v>29</v>
      </c>
      <c r="I16" s="454" t="s">
        <v>30</v>
      </c>
      <c r="J16" s="454" t="s">
        <v>33</v>
      </c>
      <c r="K16" s="454" t="s">
        <v>34</v>
      </c>
    </row>
    <row r="17" spans="1:13" ht="18" customHeight="1" x14ac:dyDescent="0.2">
      <c r="A17" s="455" t="s">
        <v>184</v>
      </c>
      <c r="B17" s="421" t="s">
        <v>182</v>
      </c>
    </row>
    <row r="18" spans="1:13" ht="18" customHeight="1" x14ac:dyDescent="0.2">
      <c r="A18" s="435" t="s">
        <v>185</v>
      </c>
      <c r="B18" s="419" t="s">
        <v>183</v>
      </c>
      <c r="F18" s="221" t="s">
        <v>73</v>
      </c>
      <c r="G18" s="221" t="s">
        <v>73</v>
      </c>
      <c r="H18" s="118">
        <v>9425587.7226412781</v>
      </c>
      <c r="I18" s="133">
        <v>0</v>
      </c>
      <c r="J18" s="118">
        <v>7966481.5789951105</v>
      </c>
      <c r="K18" s="118">
        <f>(H18+I18)-J18</f>
        <v>1459106.1436461676</v>
      </c>
      <c r="M18" s="656"/>
    </row>
    <row r="19" spans="1:13" ht="45" customHeight="1" x14ac:dyDescent="0.2">
      <c r="A19" s="432" t="s">
        <v>8</v>
      </c>
      <c r="B19" s="431"/>
      <c r="C19" s="431"/>
      <c r="D19" s="431"/>
      <c r="E19" s="431"/>
      <c r="F19" s="454" t="s">
        <v>9</v>
      </c>
      <c r="G19" s="454" t="s">
        <v>37</v>
      </c>
      <c r="H19" s="454" t="s">
        <v>29</v>
      </c>
      <c r="I19" s="454" t="s">
        <v>30</v>
      </c>
      <c r="J19" s="454" t="s">
        <v>33</v>
      </c>
      <c r="K19" s="454" t="s">
        <v>34</v>
      </c>
    </row>
    <row r="20" spans="1:13" ht="18" customHeight="1" x14ac:dyDescent="0.2">
      <c r="A20" s="455" t="s">
        <v>74</v>
      </c>
      <c r="B20" s="421" t="s">
        <v>41</v>
      </c>
    </row>
    <row r="21" spans="1:13" ht="18" customHeight="1" x14ac:dyDescent="0.2">
      <c r="A21" s="435" t="s">
        <v>75</v>
      </c>
      <c r="B21" s="419" t="s">
        <v>42</v>
      </c>
      <c r="F21" s="221">
        <f>[12]Download!B5</f>
        <v>2425.5</v>
      </c>
      <c r="G21" s="221">
        <f>[12]Download!D5</f>
        <v>3484</v>
      </c>
      <c r="H21" s="118">
        <f>[12]Download!E5</f>
        <v>189880</v>
      </c>
      <c r="I21" s="118">
        <f>[12]Download!F5</f>
        <v>6028</v>
      </c>
      <c r="J21" s="118">
        <f>[12]Download!G5</f>
        <v>0</v>
      </c>
      <c r="K21" s="118">
        <f>[12]Download!H5</f>
        <v>195908</v>
      </c>
    </row>
    <row r="22" spans="1:13" ht="18" customHeight="1" x14ac:dyDescent="0.2">
      <c r="A22" s="435" t="s">
        <v>76</v>
      </c>
      <c r="B22" s="259" t="s">
        <v>6</v>
      </c>
      <c r="F22" s="221"/>
      <c r="G22" s="221"/>
      <c r="H22" s="118"/>
      <c r="I22" s="118"/>
      <c r="J22" s="118"/>
      <c r="K22" s="118"/>
    </row>
    <row r="23" spans="1:13" ht="18" customHeight="1" x14ac:dyDescent="0.2">
      <c r="A23" s="435" t="s">
        <v>77</v>
      </c>
      <c r="B23" s="259" t="s">
        <v>43</v>
      </c>
      <c r="F23" s="221">
        <f>[12]Download!B6</f>
        <v>0</v>
      </c>
      <c r="G23" s="221">
        <f>[12]Download!C6</f>
        <v>0</v>
      </c>
      <c r="H23" s="118">
        <f>[12]Download!E6</f>
        <v>0</v>
      </c>
      <c r="I23" s="118">
        <f>[12]Download!F6</f>
        <v>0</v>
      </c>
      <c r="J23" s="118">
        <f>[12]Download!G6</f>
        <v>0</v>
      </c>
      <c r="K23" s="118">
        <f>[12]Download!H6</f>
        <v>0</v>
      </c>
    </row>
    <row r="24" spans="1:13" ht="18" customHeight="1" x14ac:dyDescent="0.2">
      <c r="A24" s="435" t="s">
        <v>78</v>
      </c>
      <c r="B24" s="259" t="s">
        <v>44</v>
      </c>
      <c r="F24" s="221">
        <f>[12]Download!B7</f>
        <v>1524</v>
      </c>
      <c r="G24" s="221">
        <f>[12]Download!D7</f>
        <v>1209</v>
      </c>
      <c r="H24" s="118">
        <f>[12]Download!E7</f>
        <v>399718</v>
      </c>
      <c r="I24" s="118">
        <f>[12]Download!F7</f>
        <v>238009</v>
      </c>
      <c r="J24" s="118">
        <f>[12]Download!G7</f>
        <v>398675</v>
      </c>
      <c r="K24" s="118">
        <f>[12]Download!H7</f>
        <v>239052</v>
      </c>
    </row>
    <row r="25" spans="1:13" ht="18" customHeight="1" x14ac:dyDescent="0.2">
      <c r="A25" s="435" t="s">
        <v>79</v>
      </c>
      <c r="B25" s="259" t="s">
        <v>5</v>
      </c>
      <c r="F25" s="221">
        <f>[12]Download!B8</f>
        <v>0</v>
      </c>
      <c r="G25" s="221">
        <v>0</v>
      </c>
      <c r="H25" s="118">
        <f>[12]Download!E8</f>
        <v>0</v>
      </c>
      <c r="I25" s="118">
        <f>[12]Download!F8</f>
        <v>0</v>
      </c>
      <c r="J25" s="118">
        <f>[12]Download!G8</f>
        <v>0</v>
      </c>
      <c r="K25" s="118">
        <f>[12]Download!H8</f>
        <v>0</v>
      </c>
    </row>
    <row r="26" spans="1:13" ht="18" customHeight="1" x14ac:dyDescent="0.2">
      <c r="A26" s="435" t="s">
        <v>80</v>
      </c>
      <c r="B26" s="259" t="s">
        <v>45</v>
      </c>
      <c r="F26" s="221"/>
      <c r="G26" s="221"/>
      <c r="H26" s="118"/>
      <c r="I26" s="118"/>
      <c r="J26" s="118"/>
      <c r="K26" s="118"/>
    </row>
    <row r="27" spans="1:13" ht="18" customHeight="1" x14ac:dyDescent="0.2">
      <c r="A27" s="435" t="s">
        <v>81</v>
      </c>
      <c r="B27" s="259" t="s">
        <v>46</v>
      </c>
      <c r="F27" s="221">
        <f>[12]Download!B9</f>
        <v>1484</v>
      </c>
      <c r="G27" s="221">
        <f>[12]Download!C9</f>
        <v>0</v>
      </c>
      <c r="H27" s="118">
        <f>[12]Download!E9</f>
        <v>80327</v>
      </c>
      <c r="I27" s="118">
        <f>[12]Download!F9</f>
        <v>0</v>
      </c>
      <c r="J27" s="118">
        <f>[12]Download!G9</f>
        <v>0</v>
      </c>
      <c r="K27" s="118">
        <f>[12]Download!H9</f>
        <v>80327</v>
      </c>
    </row>
    <row r="28" spans="1:13" ht="18" customHeight="1" x14ac:dyDescent="0.2">
      <c r="A28" s="435" t="s">
        <v>82</v>
      </c>
      <c r="B28" s="259" t="s">
        <v>47</v>
      </c>
      <c r="F28" s="221"/>
      <c r="G28" s="221"/>
      <c r="H28" s="118"/>
      <c r="I28" s="118"/>
      <c r="J28" s="118"/>
      <c r="K28" s="118"/>
    </row>
    <row r="29" spans="1:13" ht="18" customHeight="1" x14ac:dyDescent="0.2">
      <c r="A29" s="435" t="s">
        <v>83</v>
      </c>
      <c r="B29" s="259" t="s">
        <v>48</v>
      </c>
      <c r="F29" s="221">
        <f>[12]Download!B10</f>
        <v>4399</v>
      </c>
      <c r="G29" s="221">
        <f>[12]Download!C10</f>
        <v>48871</v>
      </c>
      <c r="H29" s="118">
        <f>[12]Download!E10</f>
        <v>423046</v>
      </c>
      <c r="I29" s="118">
        <f>[12]Download!F10</f>
        <v>105976</v>
      </c>
      <c r="J29" s="118">
        <f>[12]Download!G10</f>
        <v>0</v>
      </c>
      <c r="K29" s="118">
        <f>[12]Download!H10</f>
        <v>529022</v>
      </c>
    </row>
    <row r="30" spans="1:13" ht="18" customHeight="1" x14ac:dyDescent="0.25">
      <c r="A30" s="435" t="s">
        <v>84</v>
      </c>
      <c r="B30" s="709" t="s">
        <v>233</v>
      </c>
      <c r="C30" s="710"/>
      <c r="D30" s="711"/>
      <c r="F30" s="221">
        <f>[12]Download!B11</f>
        <v>0</v>
      </c>
      <c r="G30" s="221">
        <f>[12]Download!C11</f>
        <v>6</v>
      </c>
      <c r="H30" s="118">
        <f>[12]Download!E11</f>
        <v>124902</v>
      </c>
      <c r="I30" s="118">
        <f>[12]Download!F11</f>
        <v>74145</v>
      </c>
      <c r="J30" s="118">
        <f>[12]Download!G11</f>
        <v>0</v>
      </c>
      <c r="K30" s="118">
        <f>[12]Download!H11</f>
        <v>199047</v>
      </c>
    </row>
    <row r="31" spans="1:13" ht="18" customHeight="1" x14ac:dyDescent="0.2">
      <c r="A31" s="435" t="s">
        <v>133</v>
      </c>
      <c r="B31" s="456"/>
      <c r="C31" s="457"/>
      <c r="D31" s="458"/>
      <c r="F31" s="221"/>
      <c r="G31" s="221"/>
      <c r="H31" s="118"/>
      <c r="I31" s="133"/>
      <c r="J31" s="118"/>
      <c r="K31" s="118"/>
    </row>
    <row r="32" spans="1:13" ht="18" customHeight="1" x14ac:dyDescent="0.2">
      <c r="A32" s="435" t="s">
        <v>134</v>
      </c>
      <c r="B32" s="459"/>
      <c r="C32" s="460"/>
      <c r="D32" s="461"/>
      <c r="F32" s="221"/>
      <c r="G32" s="255"/>
      <c r="H32" s="118"/>
      <c r="I32" s="133"/>
      <c r="J32" s="118"/>
      <c r="K32" s="118"/>
    </row>
    <row r="33" spans="1:11" ht="18" customHeight="1" x14ac:dyDescent="0.2">
      <c r="A33" s="435" t="s">
        <v>135</v>
      </c>
      <c r="B33" s="459"/>
      <c r="C33" s="460"/>
      <c r="D33" s="461"/>
      <c r="F33" s="221"/>
      <c r="G33" s="255"/>
      <c r="H33" s="118"/>
      <c r="I33" s="133"/>
      <c r="J33" s="118"/>
      <c r="K33" s="118"/>
    </row>
    <row r="34" spans="1:11" ht="18" customHeight="1" x14ac:dyDescent="0.2">
      <c r="A34" s="435" t="s">
        <v>136</v>
      </c>
      <c r="B34" s="456"/>
      <c r="C34" s="457"/>
      <c r="D34" s="458"/>
      <c r="F34" s="221"/>
      <c r="G34" s="255"/>
      <c r="H34" s="118"/>
      <c r="I34" s="133"/>
      <c r="J34" s="118"/>
      <c r="K34" s="118"/>
    </row>
    <row r="35" spans="1:11" ht="18" customHeight="1" x14ac:dyDescent="0.2">
      <c r="K35" s="406"/>
    </row>
    <row r="36" spans="1:11" ht="18" customHeight="1" x14ac:dyDescent="0.2">
      <c r="A36" s="455" t="s">
        <v>137</v>
      </c>
      <c r="B36" s="421" t="s">
        <v>138</v>
      </c>
      <c r="E36" s="421" t="s">
        <v>7</v>
      </c>
      <c r="F36" s="221">
        <f t="shared" ref="F36:K36" si="0">SUM(F21:F34)</f>
        <v>9832.5</v>
      </c>
      <c r="G36" s="221">
        <f t="shared" si="0"/>
        <v>53570</v>
      </c>
      <c r="H36" s="221">
        <f>SUM(H21:H34)</f>
        <v>1217873</v>
      </c>
      <c r="I36" s="118">
        <f t="shared" si="0"/>
        <v>424158</v>
      </c>
      <c r="J36" s="118">
        <f t="shared" si="0"/>
        <v>398675</v>
      </c>
      <c r="K36" s="118">
        <f t="shared" si="0"/>
        <v>1243356</v>
      </c>
    </row>
    <row r="37" spans="1:11" ht="18" customHeight="1" thickBot="1" x14ac:dyDescent="0.25">
      <c r="B37" s="421"/>
      <c r="F37" s="462"/>
      <c r="G37" s="462"/>
      <c r="H37" s="462"/>
      <c r="I37" s="462"/>
      <c r="J37" s="462"/>
      <c r="K37" s="462"/>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f>[12]Download!B14</f>
        <v>217289</v>
      </c>
      <c r="G40" s="221">
        <f>[12]Download!D14</f>
        <v>500</v>
      </c>
      <c r="H40" s="118">
        <f>[12]Download!E14</f>
        <v>13698754</v>
      </c>
      <c r="I40" s="118">
        <f>[12]Download!F14</f>
        <v>8152030</v>
      </c>
      <c r="J40" s="118">
        <f>[12]Download!G14</f>
        <v>0</v>
      </c>
      <c r="K40" s="118">
        <f>[12]Download!H14</f>
        <v>21850784</v>
      </c>
    </row>
    <row r="41" spans="1:11" ht="18" customHeight="1" x14ac:dyDescent="0.2">
      <c r="A41" s="435" t="s">
        <v>88</v>
      </c>
      <c r="B41" s="465" t="s">
        <v>50</v>
      </c>
      <c r="C41" s="466"/>
      <c r="F41" s="221">
        <f>[12]Download!B15</f>
        <v>0</v>
      </c>
      <c r="G41" s="221">
        <f>[12]Download!D15</f>
        <v>0</v>
      </c>
      <c r="H41" s="118">
        <f>[12]Download!E15</f>
        <v>772468</v>
      </c>
      <c r="I41" s="118">
        <f>[12]Download!F15</f>
        <v>0</v>
      </c>
      <c r="J41" s="118">
        <f>[12]Download!G15</f>
        <v>153158</v>
      </c>
      <c r="K41" s="118">
        <f>[12]Download!H15</f>
        <v>619310</v>
      </c>
    </row>
    <row r="42" spans="1:11" ht="18" customHeight="1" x14ac:dyDescent="0.2">
      <c r="A42" s="435" t="s">
        <v>89</v>
      </c>
      <c r="B42" s="419" t="s">
        <v>11</v>
      </c>
      <c r="F42" s="221">
        <f>[12]Download!B16</f>
        <v>52</v>
      </c>
      <c r="G42" s="221">
        <f>[12]Download!C16</f>
        <v>0</v>
      </c>
      <c r="H42" s="118">
        <f>[12]Download!E16</f>
        <v>3431</v>
      </c>
      <c r="I42" s="118">
        <f>[12]Download!F16</f>
        <v>2048</v>
      </c>
      <c r="J42" s="118">
        <f>[12]Download!G16</f>
        <v>0</v>
      </c>
      <c r="K42" s="118">
        <f>[12]Download!H16</f>
        <v>5479</v>
      </c>
    </row>
    <row r="43" spans="1:11" ht="18" customHeight="1" x14ac:dyDescent="0.2">
      <c r="A43" s="435" t="s">
        <v>90</v>
      </c>
      <c r="B43" s="467" t="s">
        <v>10</v>
      </c>
      <c r="C43" s="468"/>
      <c r="D43" s="468"/>
      <c r="F43" s="221"/>
      <c r="G43" s="221"/>
      <c r="H43" s="118"/>
      <c r="I43" s="133"/>
      <c r="J43" s="118"/>
      <c r="K43" s="118"/>
    </row>
    <row r="44" spans="1:11" ht="18" customHeight="1" x14ac:dyDescent="0.2">
      <c r="A44" s="435" t="s">
        <v>91</v>
      </c>
      <c r="B44" s="456"/>
      <c r="C44" s="457"/>
      <c r="D44" s="458"/>
      <c r="F44" s="407"/>
      <c r="G44" s="407"/>
      <c r="H44" s="407"/>
      <c r="I44" s="408"/>
      <c r="J44" s="407"/>
      <c r="K44" s="134"/>
    </row>
    <row r="45" spans="1:11" ht="18" customHeight="1" x14ac:dyDescent="0.2">
      <c r="A45" s="435" t="s">
        <v>139</v>
      </c>
      <c r="B45" s="456"/>
      <c r="C45" s="457"/>
      <c r="D45" s="458"/>
      <c r="F45" s="221"/>
      <c r="G45" s="221"/>
      <c r="H45" s="118"/>
      <c r="I45" s="133"/>
      <c r="J45" s="118"/>
      <c r="K45" s="118"/>
    </row>
    <row r="46" spans="1:11" ht="18" customHeight="1" x14ac:dyDescent="0.2">
      <c r="A46" s="435" t="s">
        <v>140</v>
      </c>
      <c r="B46" s="456"/>
      <c r="C46" s="457"/>
      <c r="D46" s="458"/>
      <c r="F46" s="221"/>
      <c r="G46" s="221"/>
      <c r="H46" s="118"/>
      <c r="I46" s="133"/>
      <c r="J46" s="118"/>
      <c r="K46" s="118"/>
    </row>
    <row r="47" spans="1:11" ht="18" customHeight="1" x14ac:dyDescent="0.2">
      <c r="A47" s="435" t="s">
        <v>141</v>
      </c>
      <c r="B47" s="456"/>
      <c r="C47" s="457"/>
      <c r="D47" s="458"/>
      <c r="F47" s="221"/>
      <c r="G47" s="221"/>
      <c r="H47" s="118"/>
      <c r="I47" s="133"/>
      <c r="J47" s="118"/>
      <c r="K47" s="118"/>
    </row>
    <row r="49" spans="1:13" ht="18" customHeight="1" x14ac:dyDescent="0.2">
      <c r="A49" s="455" t="s">
        <v>142</v>
      </c>
      <c r="B49" s="421" t="s">
        <v>143</v>
      </c>
      <c r="E49" s="421" t="s">
        <v>7</v>
      </c>
      <c r="F49" s="245">
        <f t="shared" ref="F49:K49" si="1">SUM(F40:F47)</f>
        <v>217341</v>
      </c>
      <c r="G49" s="409">
        <f t="shared" si="1"/>
        <v>500</v>
      </c>
      <c r="H49" s="118">
        <f t="shared" si="1"/>
        <v>14474653</v>
      </c>
      <c r="I49" s="118">
        <f t="shared" si="1"/>
        <v>8154078</v>
      </c>
      <c r="J49" s="118">
        <f t="shared" si="1"/>
        <v>153158</v>
      </c>
      <c r="K49" s="118">
        <f t="shared" si="1"/>
        <v>22475573</v>
      </c>
    </row>
    <row r="50" spans="1:13" ht="18" customHeight="1" thickBot="1" x14ac:dyDescent="0.25">
      <c r="G50" s="469"/>
      <c r="H50" s="469"/>
      <c r="I50" s="469"/>
      <c r="J50" s="469"/>
      <c r="K50" s="469"/>
    </row>
    <row r="51" spans="1:13" ht="42.75" customHeight="1" x14ac:dyDescent="0.2">
      <c r="F51" s="454" t="s">
        <v>9</v>
      </c>
      <c r="G51" s="454" t="s">
        <v>37</v>
      </c>
      <c r="H51" s="454" t="s">
        <v>29</v>
      </c>
      <c r="I51" s="454" t="s">
        <v>30</v>
      </c>
      <c r="J51" s="454" t="s">
        <v>33</v>
      </c>
      <c r="K51" s="454" t="s">
        <v>34</v>
      </c>
    </row>
    <row r="52" spans="1:13" ht="18" customHeight="1" x14ac:dyDescent="0.2">
      <c r="A52" s="455" t="s">
        <v>92</v>
      </c>
      <c r="B52" s="470" t="s">
        <v>38</v>
      </c>
      <c r="C52" s="471"/>
    </row>
    <row r="53" spans="1:13" ht="18" customHeight="1" x14ac:dyDescent="0.2">
      <c r="A53" s="435" t="s">
        <v>51</v>
      </c>
      <c r="B53" s="420" t="s">
        <v>233</v>
      </c>
      <c r="C53" s="414"/>
      <c r="D53" s="415"/>
      <c r="F53" s="221">
        <f>[12]Download!B19</f>
        <v>0</v>
      </c>
      <c r="G53" s="221">
        <f>[12]Download!C19</f>
        <v>0</v>
      </c>
      <c r="H53" s="221">
        <f>[12]Download!E19</f>
        <v>6198294</v>
      </c>
      <c r="I53" s="221">
        <f>[12]Download!F19</f>
        <v>0</v>
      </c>
      <c r="J53" s="221">
        <f>[12]Download!G19</f>
        <v>2961628</v>
      </c>
      <c r="K53" s="221">
        <f>[12]Download!H19</f>
        <v>3236666</v>
      </c>
    </row>
    <row r="54" spans="1:13" ht="18" customHeight="1" x14ac:dyDescent="0.2">
      <c r="A54" s="435" t="s">
        <v>506</v>
      </c>
      <c r="B54" s="418" t="s">
        <v>453</v>
      </c>
      <c r="C54" s="417"/>
      <c r="D54" s="412"/>
      <c r="F54" s="221">
        <f>[12]Download!B20</f>
        <v>0</v>
      </c>
      <c r="G54" s="221">
        <f>[12]Download!C20</f>
        <v>0</v>
      </c>
      <c r="H54" s="221">
        <f>[12]Download!E20</f>
        <v>103820</v>
      </c>
      <c r="I54" s="221">
        <f>[12]Download!F20</f>
        <v>0</v>
      </c>
      <c r="J54" s="221">
        <f>[12]Download!G20</f>
        <v>1817</v>
      </c>
      <c r="K54" s="221">
        <f>[12]Download!H20</f>
        <v>102003</v>
      </c>
      <c r="M54" s="516"/>
    </row>
    <row r="55" spans="1:13" ht="18" customHeight="1" x14ac:dyDescent="0.2">
      <c r="A55" s="435" t="s">
        <v>507</v>
      </c>
      <c r="B55" s="418" t="s">
        <v>699</v>
      </c>
      <c r="C55" s="417"/>
      <c r="D55" s="412"/>
      <c r="F55" s="221">
        <f>[12]Download!B21</f>
        <v>0</v>
      </c>
      <c r="G55" s="221">
        <f>[12]Download!C21</f>
        <v>0</v>
      </c>
      <c r="H55" s="221">
        <f>[12]Download!E21</f>
        <v>674200</v>
      </c>
      <c r="I55" s="221">
        <f>[12]Download!F21</f>
        <v>15802</v>
      </c>
      <c r="J55" s="221">
        <f>[12]Download!G21</f>
        <v>6816</v>
      </c>
      <c r="K55" s="221">
        <f>[12]Download!H21</f>
        <v>683186</v>
      </c>
    </row>
    <row r="56" spans="1:13" ht="18" customHeight="1" x14ac:dyDescent="0.2">
      <c r="A56" s="435" t="s">
        <v>95</v>
      </c>
      <c r="B56" s="424" t="s">
        <v>700</v>
      </c>
      <c r="C56" s="425"/>
      <c r="D56" s="415"/>
      <c r="F56" s="221"/>
      <c r="G56" s="221"/>
      <c r="H56" s="118"/>
      <c r="I56" s="133"/>
      <c r="J56" s="118"/>
      <c r="K56" s="118"/>
    </row>
    <row r="57" spans="1:13" ht="18" customHeight="1" x14ac:dyDescent="0.2">
      <c r="A57" s="435" t="s">
        <v>96</v>
      </c>
      <c r="B57" s="420" t="s">
        <v>345</v>
      </c>
      <c r="C57" s="414"/>
      <c r="D57" s="415"/>
      <c r="F57" s="221"/>
      <c r="G57" s="221"/>
      <c r="H57" s="118"/>
      <c r="I57" s="133"/>
      <c r="J57" s="118"/>
      <c r="K57" s="118"/>
    </row>
    <row r="58" spans="1:13" ht="18" customHeight="1" x14ac:dyDescent="0.2">
      <c r="A58" s="435" t="s">
        <v>97</v>
      </c>
      <c r="B58" s="420"/>
      <c r="C58" s="414"/>
      <c r="D58" s="415"/>
      <c r="F58" s="221"/>
      <c r="G58" s="221"/>
      <c r="H58" s="118"/>
      <c r="I58" s="133"/>
      <c r="J58" s="118"/>
      <c r="K58" s="118"/>
    </row>
    <row r="59" spans="1:13" ht="18" customHeight="1" x14ac:dyDescent="0.2">
      <c r="A59" s="435" t="s">
        <v>98</v>
      </c>
      <c r="B59" s="420"/>
      <c r="C59" s="414"/>
      <c r="D59" s="415"/>
      <c r="F59" s="221"/>
      <c r="G59" s="221"/>
      <c r="H59" s="118"/>
      <c r="I59" s="133"/>
      <c r="J59" s="118"/>
      <c r="K59" s="118"/>
    </row>
    <row r="60" spans="1:13" ht="18" customHeight="1" x14ac:dyDescent="0.2">
      <c r="A60" s="435" t="s">
        <v>99</v>
      </c>
      <c r="B60" s="420" t="s">
        <v>454</v>
      </c>
      <c r="C60" s="414"/>
      <c r="D60" s="415"/>
      <c r="F60" s="221"/>
      <c r="G60" s="221"/>
      <c r="H60" s="118"/>
      <c r="I60" s="133"/>
      <c r="J60" s="118"/>
      <c r="K60" s="118"/>
    </row>
    <row r="61" spans="1:13" ht="18" customHeight="1" x14ac:dyDescent="0.2">
      <c r="A61" s="435" t="s">
        <v>100</v>
      </c>
      <c r="B61" s="420"/>
      <c r="C61" s="414"/>
      <c r="D61" s="415"/>
      <c r="F61" s="221"/>
      <c r="G61" s="221"/>
      <c r="H61" s="118"/>
      <c r="I61" s="133"/>
      <c r="J61" s="118"/>
      <c r="K61" s="118"/>
    </row>
    <row r="62" spans="1:13" ht="18" customHeight="1" x14ac:dyDescent="0.2">
      <c r="A62" s="435" t="s">
        <v>101</v>
      </c>
      <c r="B62" s="420"/>
      <c r="C62" s="414"/>
      <c r="D62" s="415"/>
      <c r="F62" s="221"/>
      <c r="G62" s="221"/>
      <c r="H62" s="118"/>
      <c r="I62" s="133"/>
      <c r="J62" s="118"/>
      <c r="K62" s="118"/>
    </row>
    <row r="63" spans="1:13" ht="18" customHeight="1" x14ac:dyDescent="0.2">
      <c r="A63" s="435"/>
      <c r="I63" s="129"/>
    </row>
    <row r="64" spans="1:13" ht="18" customHeight="1" x14ac:dyDescent="0.2">
      <c r="A64" s="435" t="s">
        <v>144</v>
      </c>
      <c r="B64" s="421" t="s">
        <v>145</v>
      </c>
      <c r="E64" s="421" t="s">
        <v>7</v>
      </c>
      <c r="F64" s="221">
        <f t="shared" ref="F64:K64" si="2">SUM(F53:F62)</f>
        <v>0</v>
      </c>
      <c r="G64" s="221">
        <f t="shared" si="2"/>
        <v>0</v>
      </c>
      <c r="H64" s="118">
        <f t="shared" si="2"/>
        <v>6976314</v>
      </c>
      <c r="I64" s="118">
        <f t="shared" si="2"/>
        <v>15802</v>
      </c>
      <c r="J64" s="118">
        <f t="shared" si="2"/>
        <v>2970261</v>
      </c>
      <c r="K64" s="118">
        <f t="shared" si="2"/>
        <v>4021855</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251</v>
      </c>
      <c r="B68" s="420" t="s">
        <v>52</v>
      </c>
      <c r="C68" s="414"/>
      <c r="D68" s="415"/>
      <c r="F68" s="122">
        <f>[12]Download!B24</f>
        <v>0</v>
      </c>
      <c r="G68" s="122">
        <f>[12]Download!C24</f>
        <v>0</v>
      </c>
      <c r="H68" s="245">
        <f>[12]Download!E24</f>
        <v>1182270</v>
      </c>
      <c r="I68" s="245">
        <f>[12]Download!F24</f>
        <v>0</v>
      </c>
      <c r="J68" s="245">
        <f>[12]Download!G24</f>
        <v>36762</v>
      </c>
      <c r="K68" s="245">
        <f>[12]Download!H24</f>
        <v>1145508</v>
      </c>
    </row>
    <row r="69" spans="1:11" ht="18" customHeight="1" x14ac:dyDescent="0.2">
      <c r="A69" s="435" t="s">
        <v>329</v>
      </c>
      <c r="B69" s="420" t="s">
        <v>505</v>
      </c>
      <c r="C69" s="414"/>
      <c r="D69" s="415"/>
      <c r="F69" s="122">
        <f>[12]Download!B25</f>
        <v>0</v>
      </c>
      <c r="G69" s="122">
        <f>[12]Download!C25</f>
        <v>0</v>
      </c>
      <c r="H69" s="245">
        <f>[12]Download!E25</f>
        <v>0</v>
      </c>
      <c r="I69" s="245">
        <f>[12]Download!F25</f>
        <v>0</v>
      </c>
      <c r="J69" s="245">
        <f>[12]Download!G25</f>
        <v>0</v>
      </c>
      <c r="K69" s="245">
        <f>[12]Download!H25</f>
        <v>0</v>
      </c>
    </row>
    <row r="70" spans="1:11" ht="18" customHeight="1" x14ac:dyDescent="0.2">
      <c r="A70" s="435" t="s">
        <v>178</v>
      </c>
      <c r="B70" s="420"/>
      <c r="C70" s="414"/>
      <c r="D70" s="415"/>
      <c r="E70" s="421"/>
      <c r="F70" s="422"/>
      <c r="G70" s="422"/>
      <c r="H70" s="133"/>
      <c r="I70" s="133"/>
      <c r="J70" s="133"/>
      <c r="K70" s="118"/>
    </row>
    <row r="71" spans="1:11" ht="18" customHeight="1" x14ac:dyDescent="0.2">
      <c r="A71" s="435" t="s">
        <v>179</v>
      </c>
      <c r="B71" s="420"/>
      <c r="C71" s="414"/>
      <c r="D71" s="415"/>
      <c r="E71" s="421"/>
      <c r="F71" s="422"/>
      <c r="G71" s="422"/>
      <c r="H71" s="423"/>
      <c r="I71" s="133"/>
      <c r="J71" s="423"/>
      <c r="K71" s="118"/>
    </row>
    <row r="72" spans="1:11" ht="18" customHeight="1" x14ac:dyDescent="0.2">
      <c r="A72" s="435" t="s">
        <v>180</v>
      </c>
      <c r="B72" s="424"/>
      <c r="C72" s="425"/>
      <c r="D72" s="426"/>
      <c r="E72" s="421"/>
      <c r="F72" s="221"/>
      <c r="G72" s="221"/>
      <c r="H72" s="118"/>
      <c r="I72" s="133"/>
      <c r="J72" s="118"/>
      <c r="K72" s="118"/>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3">SUM(F68:F72)</f>
        <v>0</v>
      </c>
      <c r="G74" s="122">
        <f t="shared" si="3"/>
        <v>0</v>
      </c>
      <c r="H74" s="133">
        <f t="shared" si="3"/>
        <v>1182270</v>
      </c>
      <c r="I74" s="133">
        <f t="shared" si="3"/>
        <v>0</v>
      </c>
      <c r="J74" s="133">
        <f t="shared" si="3"/>
        <v>36762</v>
      </c>
      <c r="K74" s="118">
        <f t="shared" si="3"/>
        <v>1145508</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f>[12]Download!B28</f>
        <v>0</v>
      </c>
      <c r="G77" s="221">
        <f>[12]Download!C28</f>
        <v>0</v>
      </c>
      <c r="H77" s="221">
        <f>[12]Download!E28</f>
        <v>74418</v>
      </c>
      <c r="I77" s="221">
        <f>[12]Download!F28</f>
        <v>0</v>
      </c>
      <c r="J77" s="221">
        <f>[12]Download!G28</f>
        <v>0</v>
      </c>
      <c r="K77" s="221">
        <f>[12]Download!H28</f>
        <v>74418</v>
      </c>
    </row>
    <row r="78" spans="1:11" ht="18" customHeight="1" x14ac:dyDescent="0.2">
      <c r="A78" s="435" t="s">
        <v>108</v>
      </c>
      <c r="B78" s="419" t="s">
        <v>55</v>
      </c>
      <c r="F78" s="221"/>
      <c r="G78" s="221"/>
      <c r="H78" s="221"/>
      <c r="I78" s="221"/>
      <c r="J78" s="221"/>
      <c r="K78" s="221"/>
    </row>
    <row r="79" spans="1:11" ht="18" customHeight="1" x14ac:dyDescent="0.2">
      <c r="A79" s="435" t="s">
        <v>109</v>
      </c>
      <c r="B79" s="419" t="s">
        <v>13</v>
      </c>
      <c r="F79" s="221">
        <f>[12]Download!B29</f>
        <v>12</v>
      </c>
      <c r="G79" s="221">
        <f>[12]Download!C29</f>
        <v>0</v>
      </c>
      <c r="H79" s="221">
        <f>[12]Download!E29</f>
        <v>12570</v>
      </c>
      <c r="I79" s="221">
        <f>[12]Download!F29</f>
        <v>6313</v>
      </c>
      <c r="J79" s="221">
        <f>[12]Download!G29</f>
        <v>0</v>
      </c>
      <c r="K79" s="221">
        <f>[12]Download!H29</f>
        <v>18883</v>
      </c>
    </row>
    <row r="80" spans="1:11" ht="18" customHeight="1" x14ac:dyDescent="0.2">
      <c r="A80" s="435" t="s">
        <v>110</v>
      </c>
      <c r="B80" s="419" t="s">
        <v>56</v>
      </c>
      <c r="F80" s="221"/>
      <c r="G80" s="221"/>
      <c r="H80" s="118"/>
      <c r="I80" s="133"/>
      <c r="J80" s="118"/>
      <c r="K80" s="118"/>
    </row>
    <row r="81" spans="1:11" ht="18" customHeight="1" x14ac:dyDescent="0.2">
      <c r="A81" s="435"/>
      <c r="K81" s="428"/>
    </row>
    <row r="82" spans="1:11" ht="18" customHeight="1" x14ac:dyDescent="0.2">
      <c r="A82" s="435" t="s">
        <v>148</v>
      </c>
      <c r="B82" s="421" t="s">
        <v>149</v>
      </c>
      <c r="E82" s="421" t="s">
        <v>7</v>
      </c>
      <c r="F82" s="122">
        <f t="shared" ref="F82:K82" si="4">SUM(F77:F80)</f>
        <v>12</v>
      </c>
      <c r="G82" s="122">
        <f t="shared" si="4"/>
        <v>0</v>
      </c>
      <c r="H82" s="118">
        <f>SUM(H77:H80)</f>
        <v>86988</v>
      </c>
      <c r="I82" s="118">
        <f t="shared" si="4"/>
        <v>6313</v>
      </c>
      <c r="J82" s="118">
        <f t="shared" si="4"/>
        <v>0</v>
      </c>
      <c r="K82" s="118">
        <f t="shared" si="4"/>
        <v>93301</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c r="J86" s="118"/>
      <c r="K86" s="118"/>
    </row>
    <row r="87" spans="1:11" ht="18" customHeight="1" x14ac:dyDescent="0.2">
      <c r="A87" s="435" t="s">
        <v>114</v>
      </c>
      <c r="B87" s="419" t="s">
        <v>14</v>
      </c>
      <c r="F87" s="221"/>
      <c r="G87" s="221"/>
      <c r="H87" s="118"/>
      <c r="I87" s="133"/>
      <c r="J87" s="118"/>
      <c r="K87" s="118"/>
    </row>
    <row r="88" spans="1:11" ht="18" customHeight="1" x14ac:dyDescent="0.2">
      <c r="A88" s="435" t="s">
        <v>115</v>
      </c>
      <c r="B88" s="419" t="s">
        <v>116</v>
      </c>
      <c r="F88" s="221">
        <f>[12]Download!B32</f>
        <v>60</v>
      </c>
      <c r="G88" s="221">
        <f>[12]Download!C32</f>
        <v>0</v>
      </c>
      <c r="H88" s="221">
        <f>[12]Download!E32</f>
        <v>117147</v>
      </c>
      <c r="I88" s="221">
        <f>[12]Download!F32</f>
        <v>67742</v>
      </c>
      <c r="J88" s="221">
        <f>[12]Download!G32</f>
        <v>0</v>
      </c>
      <c r="K88" s="221">
        <f>[12]Download!H32</f>
        <v>184889</v>
      </c>
    </row>
    <row r="89" spans="1:11" ht="18" customHeight="1" x14ac:dyDescent="0.2">
      <c r="A89" s="435" t="s">
        <v>117</v>
      </c>
      <c r="B89" s="419" t="s">
        <v>58</v>
      </c>
      <c r="F89" s="221"/>
      <c r="G89" s="221"/>
      <c r="H89" s="118"/>
      <c r="I89" s="133"/>
      <c r="J89" s="118"/>
      <c r="K89" s="118"/>
    </row>
    <row r="90" spans="1:11" ht="18" customHeight="1" x14ac:dyDescent="0.2">
      <c r="A90" s="435" t="s">
        <v>118</v>
      </c>
      <c r="B90" s="465" t="s">
        <v>59</v>
      </c>
      <c r="C90" s="466"/>
      <c r="F90" s="221"/>
      <c r="G90" s="221"/>
      <c r="H90" s="118"/>
      <c r="I90" s="133"/>
      <c r="J90" s="118"/>
      <c r="K90" s="118"/>
    </row>
    <row r="91" spans="1:11" ht="18" customHeight="1" x14ac:dyDescent="0.2">
      <c r="A91" s="435" t="s">
        <v>119</v>
      </c>
      <c r="B91" s="419" t="s">
        <v>60</v>
      </c>
      <c r="F91" s="221"/>
      <c r="G91" s="221"/>
      <c r="H91" s="118"/>
      <c r="I91" s="133"/>
      <c r="J91" s="118"/>
      <c r="K91" s="118"/>
    </row>
    <row r="92" spans="1:11" ht="18" customHeight="1" x14ac:dyDescent="0.2">
      <c r="A92" s="435" t="s">
        <v>120</v>
      </c>
      <c r="B92" s="419" t="s">
        <v>121</v>
      </c>
      <c r="F92" s="257">
        <f>[12]Download!B33</f>
        <v>0</v>
      </c>
      <c r="G92" s="257">
        <f>[12]Download!C33</f>
        <v>0</v>
      </c>
      <c r="H92" s="257">
        <f>[12]Download!E33</f>
        <v>26386</v>
      </c>
      <c r="I92" s="257">
        <f>[12]Download!F33</f>
        <v>0</v>
      </c>
      <c r="J92" s="257">
        <f>[12]Download!G33</f>
        <v>0</v>
      </c>
      <c r="K92" s="257">
        <f>[12]Download!H33</f>
        <v>26386</v>
      </c>
    </row>
    <row r="93" spans="1:11" ht="18" customHeight="1" x14ac:dyDescent="0.2">
      <c r="A93" s="435" t="s">
        <v>122</v>
      </c>
      <c r="B93" s="419" t="s">
        <v>123</v>
      </c>
      <c r="F93" s="257">
        <f>[12]Download!B34</f>
        <v>2</v>
      </c>
      <c r="G93" s="257">
        <f>[12]Download!C34</f>
        <v>7</v>
      </c>
      <c r="H93" s="257">
        <f>[12]Download!E34</f>
        <v>3822</v>
      </c>
      <c r="I93" s="257">
        <f>[12]Download!F34</f>
        <v>190</v>
      </c>
      <c r="J93" s="257">
        <f>[12]Download!G34</f>
        <v>0</v>
      </c>
      <c r="K93" s="257">
        <f>[12]Download!H34</f>
        <v>4012</v>
      </c>
    </row>
    <row r="94" spans="1:11" ht="18" customHeight="1" x14ac:dyDescent="0.2">
      <c r="A94" s="435" t="s">
        <v>124</v>
      </c>
      <c r="B94" s="418"/>
      <c r="C94" s="417"/>
      <c r="D94" s="412"/>
      <c r="F94" s="221"/>
      <c r="G94" s="221"/>
      <c r="H94" s="118"/>
      <c r="I94" s="133"/>
      <c r="J94" s="118"/>
      <c r="K94" s="118"/>
    </row>
    <row r="95" spans="1:11" ht="18" customHeight="1" x14ac:dyDescent="0.2">
      <c r="A95" s="435" t="s">
        <v>125</v>
      </c>
      <c r="B95" s="418"/>
      <c r="C95" s="417"/>
      <c r="D95" s="412"/>
      <c r="F95" s="221"/>
      <c r="G95" s="221"/>
      <c r="H95" s="118"/>
      <c r="I95" s="133"/>
      <c r="J95" s="118"/>
      <c r="K95" s="118"/>
    </row>
    <row r="96" spans="1:11" ht="18" customHeight="1" x14ac:dyDescent="0.2">
      <c r="A96" s="435" t="s">
        <v>126</v>
      </c>
      <c r="B96" s="418"/>
      <c r="C96" s="417"/>
      <c r="D96" s="412"/>
      <c r="F96" s="221"/>
      <c r="G96" s="221"/>
      <c r="H96" s="118"/>
      <c r="I96" s="133"/>
      <c r="J96" s="118"/>
      <c r="K96" s="118"/>
    </row>
    <row r="97" spans="1:16" ht="18" customHeight="1" x14ac:dyDescent="0.2">
      <c r="A97" s="435"/>
      <c r="B97" s="419"/>
    </row>
    <row r="98" spans="1:16" ht="18" customHeight="1" x14ac:dyDescent="0.2">
      <c r="A98" s="455" t="s">
        <v>150</v>
      </c>
      <c r="B98" s="421" t="s">
        <v>151</v>
      </c>
      <c r="E98" s="421" t="s">
        <v>7</v>
      </c>
      <c r="F98" s="221">
        <f t="shared" ref="F98:K98" si="5">SUM(F86:F96)</f>
        <v>62</v>
      </c>
      <c r="G98" s="221">
        <f t="shared" si="5"/>
        <v>7</v>
      </c>
      <c r="H98" s="221">
        <f t="shared" si="5"/>
        <v>147355</v>
      </c>
      <c r="I98" s="221">
        <f t="shared" si="5"/>
        <v>67932</v>
      </c>
      <c r="J98" s="221">
        <f t="shared" si="5"/>
        <v>0</v>
      </c>
      <c r="K98" s="221">
        <f t="shared" si="5"/>
        <v>215287</v>
      </c>
    </row>
    <row r="99" spans="1:16" ht="18" customHeight="1" thickBot="1" x14ac:dyDescent="0.25">
      <c r="B99" s="421"/>
      <c r="F99" s="469"/>
      <c r="G99" s="469"/>
      <c r="H99" s="469"/>
      <c r="I99" s="469"/>
      <c r="J99" s="469"/>
      <c r="K99" s="469"/>
    </row>
    <row r="100" spans="1:16" ht="42.75" customHeight="1" x14ac:dyDescent="0.2">
      <c r="F100" s="454" t="s">
        <v>9</v>
      </c>
      <c r="G100" s="454" t="s">
        <v>37</v>
      </c>
      <c r="H100" s="454" t="s">
        <v>29</v>
      </c>
      <c r="I100" s="454" t="s">
        <v>30</v>
      </c>
      <c r="J100" s="454" t="s">
        <v>33</v>
      </c>
      <c r="K100" s="454" t="s">
        <v>34</v>
      </c>
    </row>
    <row r="101" spans="1:16" ht="18" customHeight="1" x14ac:dyDescent="0.2">
      <c r="A101" s="455" t="s">
        <v>130</v>
      </c>
      <c r="B101" s="421" t="s">
        <v>63</v>
      </c>
    </row>
    <row r="102" spans="1:16" ht="18" customHeight="1" x14ac:dyDescent="0.2">
      <c r="A102" s="435" t="s">
        <v>131</v>
      </c>
      <c r="B102" s="419" t="s">
        <v>152</v>
      </c>
      <c r="F102" s="221">
        <f>[12]Download!B37</f>
        <v>664</v>
      </c>
      <c r="G102" s="221">
        <f>[12]Download!C37</f>
        <v>0</v>
      </c>
      <c r="H102" s="221">
        <f>[12]Download!E37</f>
        <v>119661</v>
      </c>
      <c r="I102" s="221">
        <f>[12]Download!F37</f>
        <v>26370</v>
      </c>
      <c r="J102" s="221">
        <f>[12]Download!G37</f>
        <v>0</v>
      </c>
      <c r="K102" s="221">
        <f>[12]Download!H37</f>
        <v>146031</v>
      </c>
    </row>
    <row r="103" spans="1:16" ht="18" customHeight="1" x14ac:dyDescent="0.2">
      <c r="A103" s="435" t="s">
        <v>132</v>
      </c>
      <c r="B103" s="465" t="s">
        <v>62</v>
      </c>
      <c r="C103" s="465"/>
      <c r="F103" s="221"/>
      <c r="G103" s="221"/>
      <c r="H103" s="118"/>
      <c r="I103" s="133"/>
      <c r="J103" s="118"/>
      <c r="K103" s="118"/>
    </row>
    <row r="104" spans="1:16" ht="18" customHeight="1" x14ac:dyDescent="0.2">
      <c r="A104" s="435" t="s">
        <v>128</v>
      </c>
      <c r="B104" s="418"/>
      <c r="C104" s="417"/>
      <c r="D104" s="412"/>
      <c r="F104" s="221"/>
      <c r="G104" s="221"/>
      <c r="H104" s="118"/>
      <c r="I104" s="133"/>
      <c r="J104" s="118"/>
      <c r="K104" s="118"/>
    </row>
    <row r="105" spans="1:16" ht="18" customHeight="1" x14ac:dyDescent="0.2">
      <c r="A105" s="435" t="s">
        <v>127</v>
      </c>
      <c r="B105" s="418"/>
      <c r="C105" s="417"/>
      <c r="D105" s="412"/>
      <c r="F105" s="221"/>
      <c r="G105" s="221"/>
      <c r="H105" s="118"/>
      <c r="I105" s="133"/>
      <c r="J105" s="118"/>
      <c r="K105" s="118"/>
    </row>
    <row r="106" spans="1:16" ht="18" customHeight="1" x14ac:dyDescent="0.2">
      <c r="A106" s="435" t="s">
        <v>129</v>
      </c>
      <c r="B106" s="418"/>
      <c r="C106" s="417"/>
      <c r="D106" s="412"/>
      <c r="F106" s="221"/>
      <c r="G106" s="221"/>
      <c r="H106" s="118"/>
      <c r="I106" s="133"/>
      <c r="J106" s="118"/>
      <c r="K106" s="118"/>
    </row>
    <row r="107" spans="1:16" ht="18" customHeight="1" x14ac:dyDescent="0.2">
      <c r="B107" s="421"/>
    </row>
    <row r="108" spans="1:16" s="468" customFormat="1" ht="18" customHeight="1" x14ac:dyDescent="0.2">
      <c r="A108" s="455" t="s">
        <v>153</v>
      </c>
      <c r="B108" s="481" t="s">
        <v>154</v>
      </c>
      <c r="C108" s="259"/>
      <c r="D108" s="259"/>
      <c r="E108" s="421" t="s">
        <v>7</v>
      </c>
      <c r="F108" s="221">
        <f t="shared" ref="F108:K108" si="6">SUM(F102:F106)</f>
        <v>664</v>
      </c>
      <c r="G108" s="221">
        <f t="shared" si="6"/>
        <v>0</v>
      </c>
      <c r="H108" s="118">
        <f t="shared" si="6"/>
        <v>119661</v>
      </c>
      <c r="I108" s="118">
        <f t="shared" si="6"/>
        <v>26370</v>
      </c>
      <c r="J108" s="118">
        <f t="shared" si="6"/>
        <v>0</v>
      </c>
      <c r="K108" s="118">
        <f t="shared" si="6"/>
        <v>146031</v>
      </c>
      <c r="L108" s="712"/>
      <c r="N108" s="713"/>
      <c r="O108" s="713"/>
    </row>
    <row r="109" spans="1:16" s="468" customFormat="1" ht="18" customHeight="1" thickBot="1" x14ac:dyDescent="0.25">
      <c r="A109" s="482"/>
      <c r="B109" s="483"/>
      <c r="C109" s="484"/>
      <c r="D109" s="484"/>
      <c r="E109" s="484"/>
      <c r="F109" s="469"/>
      <c r="G109" s="469"/>
      <c r="H109" s="469"/>
      <c r="I109" s="469"/>
      <c r="J109" s="469"/>
      <c r="K109" s="469"/>
      <c r="L109" s="712"/>
      <c r="N109" s="713"/>
      <c r="O109" s="713"/>
    </row>
    <row r="110" spans="1:16" s="468" customFormat="1" ht="18" customHeight="1" x14ac:dyDescent="0.2">
      <c r="A110" s="455" t="s">
        <v>156</v>
      </c>
      <c r="B110" s="421" t="s">
        <v>39</v>
      </c>
      <c r="C110" s="259"/>
      <c r="D110" s="259"/>
      <c r="E110" s="259"/>
      <c r="F110" s="103">
        <v>6610504</v>
      </c>
      <c r="G110" s="656"/>
      <c r="H110" s="259"/>
      <c r="I110" s="259"/>
      <c r="J110" s="259"/>
      <c r="K110" s="259"/>
      <c r="L110" s="712"/>
      <c r="N110" s="714"/>
      <c r="O110" s="714"/>
      <c r="P110" s="258"/>
    </row>
    <row r="111" spans="1:16" ht="12.75" x14ac:dyDescent="0.2">
      <c r="A111" s="455" t="s">
        <v>155</v>
      </c>
      <c r="B111" s="421" t="s">
        <v>164</v>
      </c>
      <c r="E111" s="421" t="s">
        <v>7</v>
      </c>
      <c r="F111" s="103">
        <f>F110</f>
        <v>6610504</v>
      </c>
      <c r="G111" s="656"/>
      <c r="N111" s="715"/>
      <c r="O111" s="716"/>
      <c r="P111" s="717"/>
    </row>
    <row r="112" spans="1:16" ht="12.75" x14ac:dyDescent="0.2">
      <c r="B112" s="421"/>
      <c r="E112" s="421"/>
      <c r="F112" s="258"/>
      <c r="G112" s="656"/>
      <c r="N112" s="715"/>
      <c r="O112" s="716"/>
      <c r="P112" s="717"/>
    </row>
    <row r="113" spans="1:16" ht="12.75" x14ac:dyDescent="0.2">
      <c r="A113" s="455"/>
      <c r="B113" s="421" t="s">
        <v>15</v>
      </c>
      <c r="G113" s="656"/>
      <c r="N113" s="715"/>
      <c r="O113" s="716"/>
      <c r="P113" s="717"/>
    </row>
    <row r="114" spans="1:16" ht="12.75" x14ac:dyDescent="0.2">
      <c r="A114" s="435" t="s">
        <v>171</v>
      </c>
      <c r="B114" s="419" t="s">
        <v>35</v>
      </c>
      <c r="F114" s="140">
        <v>0.59667425874979896</v>
      </c>
      <c r="G114" s="656"/>
      <c r="N114" s="715"/>
      <c r="O114" s="716"/>
      <c r="P114" s="717"/>
    </row>
    <row r="115" spans="1:16" ht="12.75" x14ac:dyDescent="0.2">
      <c r="A115" s="435"/>
      <c r="B115" s="421"/>
      <c r="G115" s="656"/>
      <c r="N115" s="715"/>
      <c r="O115" s="716"/>
      <c r="P115" s="717"/>
    </row>
    <row r="116" spans="1:16" ht="12.75" x14ac:dyDescent="0.2">
      <c r="A116" s="435" t="s">
        <v>170</v>
      </c>
      <c r="B116" s="421" t="s">
        <v>16</v>
      </c>
      <c r="G116" s="656"/>
      <c r="N116" s="715"/>
      <c r="O116" s="716"/>
      <c r="P116" s="716"/>
    </row>
    <row r="117" spans="1:16" ht="15" x14ac:dyDescent="0.25">
      <c r="A117" s="435" t="s">
        <v>172</v>
      </c>
      <c r="B117" s="419" t="s">
        <v>17</v>
      </c>
      <c r="F117" s="118">
        <v>440305298.10069174</v>
      </c>
      <c r="G117" s="656"/>
      <c r="N117" s="715"/>
      <c r="O117" s="706"/>
      <c r="P117" s="717"/>
    </row>
    <row r="118" spans="1:16" ht="12.75" x14ac:dyDescent="0.2">
      <c r="A118" s="435" t="s">
        <v>173</v>
      </c>
      <c r="B118" s="259" t="s">
        <v>18</v>
      </c>
      <c r="F118" s="118">
        <v>16889044.139999997</v>
      </c>
      <c r="G118" s="656"/>
      <c r="N118" s="715"/>
      <c r="O118" s="716"/>
      <c r="P118" s="717"/>
    </row>
    <row r="119" spans="1:16" ht="12.75" x14ac:dyDescent="0.2">
      <c r="A119" s="435" t="s">
        <v>174</v>
      </c>
      <c r="B119" s="421" t="s">
        <v>19</v>
      </c>
      <c r="F119" s="118">
        <f>SUM(F117:F118)</f>
        <v>457194342.24069172</v>
      </c>
      <c r="G119" s="656"/>
      <c r="N119" s="715"/>
      <c r="O119" s="716"/>
      <c r="P119" s="717"/>
    </row>
    <row r="120" spans="1:16" ht="12.75" x14ac:dyDescent="0.2">
      <c r="A120" s="435"/>
      <c r="B120" s="421"/>
      <c r="G120" s="656"/>
      <c r="N120" s="704"/>
      <c r="O120" s="704"/>
      <c r="P120" s="656"/>
    </row>
    <row r="121" spans="1:16" ht="12.75" x14ac:dyDescent="0.2">
      <c r="A121" s="435" t="s">
        <v>167</v>
      </c>
      <c r="B121" s="421" t="s">
        <v>36</v>
      </c>
      <c r="F121" s="118">
        <v>449182066.26899934</v>
      </c>
      <c r="G121" s="656"/>
    </row>
    <row r="122" spans="1:16" ht="12.75" x14ac:dyDescent="0.2">
      <c r="A122" s="435"/>
      <c r="G122" s="656"/>
    </row>
    <row r="123" spans="1:16" ht="12.75" x14ac:dyDescent="0.2">
      <c r="A123" s="435" t="s">
        <v>175</v>
      </c>
      <c r="B123" s="421" t="s">
        <v>20</v>
      </c>
      <c r="F123" s="118">
        <f>F119-F121</f>
        <v>8012275.9716923833</v>
      </c>
      <c r="G123" s="656"/>
    </row>
    <row r="124" spans="1:16" ht="12.75" x14ac:dyDescent="0.2">
      <c r="A124" s="435"/>
      <c r="G124" s="656"/>
    </row>
    <row r="125" spans="1:16" ht="12.75" x14ac:dyDescent="0.2">
      <c r="A125" s="435" t="s">
        <v>176</v>
      </c>
      <c r="B125" s="421" t="s">
        <v>21</v>
      </c>
      <c r="F125" s="118">
        <v>4312432.0200000005</v>
      </c>
      <c r="G125" s="656"/>
    </row>
    <row r="126" spans="1:16" ht="12.75" x14ac:dyDescent="0.2">
      <c r="A126" s="435"/>
      <c r="G126" s="656"/>
    </row>
    <row r="127" spans="1:16" ht="12.75" x14ac:dyDescent="0.2">
      <c r="A127" s="435" t="s">
        <v>177</v>
      </c>
      <c r="B127" s="421" t="s">
        <v>22</v>
      </c>
      <c r="F127" s="118">
        <f>F123+F125</f>
        <v>12324707.991692383</v>
      </c>
      <c r="G127" s="656"/>
    </row>
    <row r="128" spans="1:16" ht="12.75" x14ac:dyDescent="0.2">
      <c r="A128" s="435"/>
    </row>
    <row r="129" spans="1:11" ht="25.5" x14ac:dyDescent="0.2">
      <c r="F129" s="454" t="s">
        <v>9</v>
      </c>
      <c r="G129" s="454" t="s">
        <v>37</v>
      </c>
      <c r="H129" s="454" t="s">
        <v>29</v>
      </c>
      <c r="I129" s="454" t="s">
        <v>30</v>
      </c>
      <c r="J129" s="454" t="s">
        <v>33</v>
      </c>
      <c r="K129" s="454" t="s">
        <v>34</v>
      </c>
    </row>
    <row r="130" spans="1:11" ht="12.75" x14ac:dyDescent="0.2">
      <c r="A130" s="455" t="s">
        <v>157</v>
      </c>
      <c r="B130" s="421" t="s">
        <v>23</v>
      </c>
    </row>
    <row r="131" spans="1:11" ht="12.75" x14ac:dyDescent="0.2">
      <c r="A131" s="435" t="s">
        <v>158</v>
      </c>
      <c r="B131" s="259" t="s">
        <v>24</v>
      </c>
      <c r="F131" s="221">
        <v>0</v>
      </c>
      <c r="G131" s="221">
        <v>0</v>
      </c>
      <c r="H131" s="118">
        <v>0</v>
      </c>
      <c r="I131" s="133">
        <v>0</v>
      </c>
      <c r="J131" s="118">
        <v>0</v>
      </c>
      <c r="K131" s="118">
        <v>0</v>
      </c>
    </row>
    <row r="132" spans="1:11" ht="12.75" x14ac:dyDescent="0.2">
      <c r="A132" s="435" t="s">
        <v>159</v>
      </c>
      <c r="B132" s="259" t="s">
        <v>25</v>
      </c>
      <c r="F132" s="221">
        <v>0</v>
      </c>
      <c r="G132" s="221">
        <v>0</v>
      </c>
      <c r="H132" s="118">
        <v>0</v>
      </c>
      <c r="I132" s="133">
        <v>0</v>
      </c>
      <c r="J132" s="118">
        <v>0</v>
      </c>
      <c r="K132" s="118">
        <v>0</v>
      </c>
    </row>
    <row r="133" spans="1:11" ht="12.75" x14ac:dyDescent="0.2">
      <c r="A133" s="435" t="s">
        <v>160</v>
      </c>
      <c r="B133" s="456"/>
      <c r="C133" s="457"/>
      <c r="D133" s="458"/>
      <c r="F133" s="221"/>
      <c r="G133" s="221"/>
      <c r="H133" s="118"/>
      <c r="I133" s="133"/>
      <c r="J133" s="118"/>
      <c r="K133" s="118"/>
    </row>
    <row r="134" spans="1:11" ht="12.75" x14ac:dyDescent="0.2">
      <c r="A134" s="435" t="s">
        <v>161</v>
      </c>
      <c r="B134" s="456"/>
      <c r="C134" s="457"/>
      <c r="D134" s="458"/>
      <c r="F134" s="221"/>
      <c r="G134" s="221"/>
      <c r="H134" s="118"/>
      <c r="I134" s="133"/>
      <c r="J134" s="118"/>
      <c r="K134" s="118"/>
    </row>
    <row r="135" spans="1:11" ht="12.75" x14ac:dyDescent="0.2">
      <c r="A135" s="435" t="s">
        <v>162</v>
      </c>
      <c r="B135" s="456"/>
      <c r="C135" s="457"/>
      <c r="D135" s="458"/>
      <c r="F135" s="221"/>
      <c r="G135" s="221"/>
      <c r="H135" s="118"/>
      <c r="I135" s="133"/>
      <c r="J135" s="118"/>
      <c r="K135" s="118"/>
    </row>
    <row r="136" spans="1:11" ht="12.75" x14ac:dyDescent="0.2">
      <c r="A136" s="455"/>
    </row>
    <row r="137" spans="1:11" ht="12.75" x14ac:dyDescent="0.2">
      <c r="A137" s="455" t="s">
        <v>163</v>
      </c>
      <c r="B137" s="421" t="s">
        <v>27</v>
      </c>
      <c r="F137" s="221">
        <f t="shared" ref="F137:K137" si="7">SUM(F131:F135)</f>
        <v>0</v>
      </c>
      <c r="G137" s="221">
        <f t="shared" si="7"/>
        <v>0</v>
      </c>
      <c r="H137" s="118">
        <f t="shared" si="7"/>
        <v>0</v>
      </c>
      <c r="I137" s="118">
        <f t="shared" si="7"/>
        <v>0</v>
      </c>
      <c r="J137" s="118">
        <f t="shared" si="7"/>
        <v>0</v>
      </c>
      <c r="K137" s="118">
        <f t="shared" si="7"/>
        <v>0</v>
      </c>
    </row>
    <row r="138" spans="1:11" ht="12.75" x14ac:dyDescent="0.2">
      <c r="A138" s="259"/>
    </row>
    <row r="139" spans="1:11" ht="25.5" x14ac:dyDescent="0.2">
      <c r="F139" s="454" t="s">
        <v>9</v>
      </c>
      <c r="G139" s="454" t="s">
        <v>37</v>
      </c>
      <c r="H139" s="454" t="s">
        <v>29</v>
      </c>
      <c r="I139" s="454" t="s">
        <v>30</v>
      </c>
      <c r="J139" s="454" t="s">
        <v>33</v>
      </c>
      <c r="K139" s="454" t="s">
        <v>34</v>
      </c>
    </row>
    <row r="140" spans="1:11" ht="12.75" x14ac:dyDescent="0.2">
      <c r="A140" s="455" t="s">
        <v>166</v>
      </c>
      <c r="B140" s="421" t="s">
        <v>26</v>
      </c>
    </row>
    <row r="141" spans="1:11" ht="12.75" x14ac:dyDescent="0.2">
      <c r="A141" s="435" t="s">
        <v>137</v>
      </c>
      <c r="B141" s="421" t="s">
        <v>64</v>
      </c>
      <c r="F141" s="422">
        <f>F36</f>
        <v>9832.5</v>
      </c>
      <c r="G141" s="422">
        <f t="shared" ref="G141:K141" si="8">G36</f>
        <v>53570</v>
      </c>
      <c r="H141" s="103">
        <f t="shared" si="8"/>
        <v>1217873</v>
      </c>
      <c r="I141" s="103">
        <f t="shared" si="8"/>
        <v>424158</v>
      </c>
      <c r="J141" s="103">
        <f t="shared" si="8"/>
        <v>398675</v>
      </c>
      <c r="K141" s="103">
        <f t="shared" si="8"/>
        <v>1243356</v>
      </c>
    </row>
    <row r="142" spans="1:11" ht="12.75" x14ac:dyDescent="0.2">
      <c r="A142" s="435" t="s">
        <v>142</v>
      </c>
      <c r="B142" s="421" t="s">
        <v>65</v>
      </c>
      <c r="F142" s="422">
        <f t="shared" ref="F142:K142" si="9">F49</f>
        <v>217341</v>
      </c>
      <c r="G142" s="422">
        <f t="shared" si="9"/>
        <v>500</v>
      </c>
      <c r="H142" s="103">
        <f t="shared" si="9"/>
        <v>14474653</v>
      </c>
      <c r="I142" s="103">
        <f t="shared" si="9"/>
        <v>8154078</v>
      </c>
      <c r="J142" s="103">
        <f t="shared" si="9"/>
        <v>153158</v>
      </c>
      <c r="K142" s="103">
        <f t="shared" si="9"/>
        <v>22475573</v>
      </c>
    </row>
    <row r="143" spans="1:11" ht="12.75" x14ac:dyDescent="0.2">
      <c r="A143" s="435" t="s">
        <v>144</v>
      </c>
      <c r="B143" s="421" t="s">
        <v>66</v>
      </c>
      <c r="F143" s="422">
        <f t="shared" ref="F143:K143" si="10">F64</f>
        <v>0</v>
      </c>
      <c r="G143" s="422">
        <f t="shared" si="10"/>
        <v>0</v>
      </c>
      <c r="H143" s="103">
        <f t="shared" si="10"/>
        <v>6976314</v>
      </c>
      <c r="I143" s="103">
        <f t="shared" si="10"/>
        <v>15802</v>
      </c>
      <c r="J143" s="103">
        <f t="shared" si="10"/>
        <v>2970261</v>
      </c>
      <c r="K143" s="103">
        <f t="shared" si="10"/>
        <v>4021855</v>
      </c>
    </row>
    <row r="144" spans="1:11" ht="12.75" x14ac:dyDescent="0.2">
      <c r="A144" s="435" t="s">
        <v>146</v>
      </c>
      <c r="B144" s="421" t="s">
        <v>67</v>
      </c>
      <c r="F144" s="422">
        <f t="shared" ref="F144:K144" si="11">F74</f>
        <v>0</v>
      </c>
      <c r="G144" s="422">
        <f t="shared" si="11"/>
        <v>0</v>
      </c>
      <c r="H144" s="103">
        <f t="shared" si="11"/>
        <v>1182270</v>
      </c>
      <c r="I144" s="103">
        <f t="shared" si="11"/>
        <v>0</v>
      </c>
      <c r="J144" s="103">
        <f t="shared" si="11"/>
        <v>36762</v>
      </c>
      <c r="K144" s="103">
        <f t="shared" si="11"/>
        <v>1145508</v>
      </c>
    </row>
    <row r="145" spans="1:13" ht="12.75" x14ac:dyDescent="0.2">
      <c r="A145" s="435" t="s">
        <v>148</v>
      </c>
      <c r="B145" s="421" t="s">
        <v>68</v>
      </c>
      <c r="F145" s="422">
        <f t="shared" ref="F145:K145" si="12">F82</f>
        <v>12</v>
      </c>
      <c r="G145" s="422">
        <f t="shared" si="12"/>
        <v>0</v>
      </c>
      <c r="H145" s="103">
        <f t="shared" si="12"/>
        <v>86988</v>
      </c>
      <c r="I145" s="103">
        <f t="shared" si="12"/>
        <v>6313</v>
      </c>
      <c r="J145" s="103">
        <f t="shared" si="12"/>
        <v>0</v>
      </c>
      <c r="K145" s="103">
        <f t="shared" si="12"/>
        <v>93301</v>
      </c>
    </row>
    <row r="146" spans="1:13" ht="12.75" x14ac:dyDescent="0.2">
      <c r="A146" s="435" t="s">
        <v>150</v>
      </c>
      <c r="B146" s="421" t="s">
        <v>69</v>
      </c>
      <c r="F146" s="422">
        <f t="shared" ref="F146:K146" si="13">F98</f>
        <v>62</v>
      </c>
      <c r="G146" s="422">
        <f t="shared" si="13"/>
        <v>7</v>
      </c>
      <c r="H146" s="103">
        <f t="shared" si="13"/>
        <v>147355</v>
      </c>
      <c r="I146" s="103">
        <f t="shared" si="13"/>
        <v>67932</v>
      </c>
      <c r="J146" s="103">
        <f t="shared" si="13"/>
        <v>0</v>
      </c>
      <c r="K146" s="103">
        <f t="shared" si="13"/>
        <v>215287</v>
      </c>
    </row>
    <row r="147" spans="1:13" ht="12.75" x14ac:dyDescent="0.2">
      <c r="A147" s="435" t="s">
        <v>153</v>
      </c>
      <c r="B147" s="421" t="s">
        <v>61</v>
      </c>
      <c r="F147" s="221">
        <f t="shared" ref="F147:K147" si="14">F108</f>
        <v>664</v>
      </c>
      <c r="G147" s="221">
        <f t="shared" si="14"/>
        <v>0</v>
      </c>
      <c r="H147" s="103">
        <f t="shared" si="14"/>
        <v>119661</v>
      </c>
      <c r="I147" s="103">
        <f t="shared" si="14"/>
        <v>26370</v>
      </c>
      <c r="J147" s="103">
        <f t="shared" si="14"/>
        <v>0</v>
      </c>
      <c r="K147" s="103">
        <f t="shared" si="14"/>
        <v>146031</v>
      </c>
    </row>
    <row r="148" spans="1:13" ht="12.75" x14ac:dyDescent="0.2">
      <c r="A148" s="435" t="s">
        <v>155</v>
      </c>
      <c r="B148" s="421" t="s">
        <v>70</v>
      </c>
      <c r="F148" s="485" t="s">
        <v>73</v>
      </c>
      <c r="G148" s="485" t="s">
        <v>73</v>
      </c>
      <c r="H148" s="103" t="s">
        <v>73</v>
      </c>
      <c r="I148" s="103" t="s">
        <v>73</v>
      </c>
      <c r="J148" s="103" t="s">
        <v>73</v>
      </c>
      <c r="K148" s="103">
        <f>F111</f>
        <v>6610504</v>
      </c>
    </row>
    <row r="149" spans="1:13" ht="12.75" x14ac:dyDescent="0.2">
      <c r="A149" s="435" t="s">
        <v>163</v>
      </c>
      <c r="B149" s="421" t="s">
        <v>71</v>
      </c>
      <c r="F149" s="221">
        <f t="shared" ref="F149:K149" si="15">F137</f>
        <v>0</v>
      </c>
      <c r="G149" s="221">
        <f t="shared" si="15"/>
        <v>0</v>
      </c>
      <c r="H149" s="103">
        <f t="shared" si="15"/>
        <v>0</v>
      </c>
      <c r="I149" s="103">
        <f t="shared" si="15"/>
        <v>0</v>
      </c>
      <c r="J149" s="103">
        <f t="shared" si="15"/>
        <v>0</v>
      </c>
      <c r="K149" s="103">
        <f t="shared" si="15"/>
        <v>0</v>
      </c>
    </row>
    <row r="150" spans="1:13" ht="18" customHeight="1" x14ac:dyDescent="0.2">
      <c r="A150" s="435" t="s">
        <v>185</v>
      </c>
      <c r="B150" s="421" t="s">
        <v>186</v>
      </c>
      <c r="F150" s="485" t="s">
        <v>73</v>
      </c>
      <c r="G150" s="485" t="s">
        <v>73</v>
      </c>
      <c r="H150" s="103">
        <f>H18</f>
        <v>9425587.7226412781</v>
      </c>
      <c r="I150" s="103">
        <f>I18</f>
        <v>0</v>
      </c>
      <c r="J150" s="103">
        <f>J18</f>
        <v>7966481.5789951105</v>
      </c>
      <c r="K150" s="103">
        <f>K18</f>
        <v>1459106.1436461676</v>
      </c>
    </row>
    <row r="151" spans="1:13" ht="18" customHeight="1" x14ac:dyDescent="0.2">
      <c r="B151" s="421"/>
      <c r="F151" s="478"/>
      <c r="G151" s="478"/>
      <c r="H151" s="718"/>
      <c r="I151" s="718"/>
      <c r="J151" s="718"/>
      <c r="K151" s="718"/>
    </row>
    <row r="152" spans="1:13" ht="18" customHeight="1" x14ac:dyDescent="0.2">
      <c r="A152" s="455" t="s">
        <v>165</v>
      </c>
      <c r="B152" s="421" t="s">
        <v>26</v>
      </c>
      <c r="F152" s="487">
        <f t="shared" ref="F152:K152" si="16">SUM(F141:F150)</f>
        <v>227911.5</v>
      </c>
      <c r="G152" s="487">
        <f t="shared" si="16"/>
        <v>54077</v>
      </c>
      <c r="H152" s="103">
        <f t="shared" si="16"/>
        <v>33630701.722641274</v>
      </c>
      <c r="I152" s="103">
        <f t="shared" si="16"/>
        <v>8694653</v>
      </c>
      <c r="J152" s="103">
        <f t="shared" si="16"/>
        <v>11525337.57899511</v>
      </c>
      <c r="K152" s="103">
        <f t="shared" si="16"/>
        <v>37410521.143646166</v>
      </c>
    </row>
    <row r="153" spans="1:13" ht="18" customHeight="1" x14ac:dyDescent="0.25">
      <c r="K153" s="719">
        <f>H152+I152-J152+K148</f>
        <v>37410521.143646166</v>
      </c>
      <c r="L153" s="720" t="s">
        <v>701</v>
      </c>
      <c r="M153" s="721"/>
    </row>
    <row r="154" spans="1:13" ht="18" customHeight="1" x14ac:dyDescent="0.25">
      <c r="A154" s="455" t="s">
        <v>168</v>
      </c>
      <c r="B154" s="421" t="s">
        <v>28</v>
      </c>
      <c r="F154" s="140">
        <f>K152/F121</f>
        <v>8.3285874376922073E-2</v>
      </c>
      <c r="K154" s="719">
        <f>K152-K153</f>
        <v>0</v>
      </c>
      <c r="L154" s="720" t="s">
        <v>701</v>
      </c>
      <c r="M154" s="721"/>
    </row>
    <row r="155" spans="1:13" ht="18" customHeight="1" x14ac:dyDescent="0.25">
      <c r="A155" s="455" t="s">
        <v>169</v>
      </c>
      <c r="B155" s="421" t="s">
        <v>72</v>
      </c>
      <c r="F155" s="140">
        <f>K152/F127</f>
        <v>3.0354083170865529</v>
      </c>
      <c r="G155" s="421"/>
      <c r="K155" s="721"/>
      <c r="L155" s="720"/>
      <c r="M155" s="721"/>
    </row>
    <row r="156" spans="1:13" ht="18" customHeight="1" x14ac:dyDescent="0.2">
      <c r="G156" s="421"/>
    </row>
    <row r="158" spans="1:13" ht="18" customHeight="1" x14ac:dyDescent="0.25">
      <c r="B158" s="721" t="s">
        <v>702</v>
      </c>
      <c r="C158" s="721"/>
      <c r="D158" s="721"/>
      <c r="E158" s="721"/>
      <c r="F158" s="722">
        <f>F152</f>
        <v>227911.5</v>
      </c>
      <c r="G158" s="722">
        <f>G152</f>
        <v>54077</v>
      </c>
      <c r="H158" s="719">
        <f>H152-H150</f>
        <v>24205113.999999996</v>
      </c>
      <c r="I158" s="719">
        <f>I152-I150</f>
        <v>8694653</v>
      </c>
      <c r="J158" s="719">
        <f t="shared" ref="J158" si="17">J152-J150</f>
        <v>3558856</v>
      </c>
      <c r="K158" s="719">
        <f>K152-K150-K148</f>
        <v>29340911</v>
      </c>
      <c r="M158" s="259">
        <v>0.69320000000000004</v>
      </c>
    </row>
    <row r="159" spans="1:13" ht="18" customHeight="1" x14ac:dyDescent="0.25">
      <c r="B159" s="721" t="s">
        <v>701</v>
      </c>
      <c r="C159" s="721"/>
      <c r="D159" s="721"/>
      <c r="E159" s="721"/>
      <c r="F159" s="722">
        <f>F158-[12]Download!B39</f>
        <v>0</v>
      </c>
      <c r="G159" s="722">
        <f>G158-[12]Download!D39</f>
        <v>0</v>
      </c>
      <c r="H159" s="722">
        <f>H158-[12]Download!E39</f>
        <v>0</v>
      </c>
      <c r="I159" s="722">
        <f>I158-[12]Download!F39</f>
        <v>0</v>
      </c>
      <c r="J159" s="722">
        <f>J158-[12]Download!G39</f>
        <v>0</v>
      </c>
      <c r="K159" s="722">
        <f>K158-[12]Download!H39</f>
        <v>0</v>
      </c>
    </row>
    <row r="162" spans="11:11" ht="18" customHeight="1" x14ac:dyDescent="0.2">
      <c r="K162" s="261"/>
    </row>
  </sheetData>
  <sheetProtection algorithmName="SHA-512" hashValue="6RPrJP7ec3alH4SrPoYOxHDu+4TmPC1CnEkJL90O8ncPk2RDSt4ms7gDm+yqTIl4SozXxPa1JEFZx3Mz/sjS1A==" saltValue="FmgE+SlNQbMiYgWFZlR/fw==" spinCount="100000" sheet="1" objects="1" scenarios="1"/>
  <mergeCells count="30">
    <mergeCell ref="B104:D104"/>
    <mergeCell ref="B105:D105"/>
    <mergeCell ref="B30:D30"/>
    <mergeCell ref="B31:D31"/>
    <mergeCell ref="B34:D34"/>
    <mergeCell ref="B90:C90"/>
    <mergeCell ref="B44:D44"/>
    <mergeCell ref="B45:D45"/>
    <mergeCell ref="B46:D46"/>
    <mergeCell ref="B47:D47"/>
    <mergeCell ref="B52:C52"/>
    <mergeCell ref="B54:D54"/>
    <mergeCell ref="B55:D55"/>
    <mergeCell ref="B41:C41"/>
    <mergeCell ref="B134:D134"/>
    <mergeCell ref="B135:D135"/>
    <mergeCell ref="B94:D94"/>
    <mergeCell ref="B95:D95"/>
    <mergeCell ref="D2:H2"/>
    <mergeCell ref="C5:G5"/>
    <mergeCell ref="C6:G6"/>
    <mergeCell ref="B106:D106"/>
    <mergeCell ref="B133:D133"/>
    <mergeCell ref="C7:G7"/>
    <mergeCell ref="C9:G9"/>
    <mergeCell ref="C10:G10"/>
    <mergeCell ref="C11:G11"/>
    <mergeCell ref="B13:H13"/>
    <mergeCell ref="B96:D96"/>
    <mergeCell ref="B103:C103"/>
  </mergeCells>
  <hyperlinks>
    <hyperlink ref="C11" r:id="rId1"/>
  </hyperlinks>
  <pageMargins left="0.7" right="0.7" top="0.75" bottom="0.75" header="0.3" footer="0.3"/>
  <pageSetup paperSize="218" scale="5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156"/>
  <sheetViews>
    <sheetView showGridLines="0" zoomScale="85" zoomScaleNormal="85"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228</v>
      </c>
      <c r="D5" s="437"/>
      <c r="E5" s="437"/>
      <c r="F5" s="437"/>
      <c r="G5" s="438"/>
    </row>
    <row r="6" spans="1:11" ht="18" customHeight="1" x14ac:dyDescent="0.2">
      <c r="B6" s="435" t="s">
        <v>3</v>
      </c>
      <c r="C6" s="439">
        <v>210027</v>
      </c>
      <c r="D6" s="440"/>
      <c r="E6" s="440"/>
      <c r="F6" s="440"/>
      <c r="G6" s="441"/>
    </row>
    <row r="7" spans="1:11" ht="18" customHeight="1" x14ac:dyDescent="0.2">
      <c r="B7" s="435" t="s">
        <v>4</v>
      </c>
      <c r="C7" s="492">
        <v>1979</v>
      </c>
      <c r="D7" s="493"/>
      <c r="E7" s="493"/>
      <c r="F7" s="493"/>
      <c r="G7" s="494"/>
    </row>
    <row r="9" spans="1:11" ht="18" customHeight="1" x14ac:dyDescent="0.2">
      <c r="B9" s="435" t="s">
        <v>1</v>
      </c>
      <c r="C9" s="436" t="s">
        <v>508</v>
      </c>
      <c r="D9" s="437"/>
      <c r="E9" s="437"/>
      <c r="F9" s="437"/>
      <c r="G9" s="438"/>
    </row>
    <row r="10" spans="1:11" ht="18" customHeight="1" x14ac:dyDescent="0.2">
      <c r="B10" s="435" t="s">
        <v>2</v>
      </c>
      <c r="C10" s="445" t="s">
        <v>391</v>
      </c>
      <c r="D10" s="446"/>
      <c r="E10" s="446"/>
      <c r="F10" s="446"/>
      <c r="G10" s="447"/>
    </row>
    <row r="11" spans="1:11" ht="18" customHeight="1" x14ac:dyDescent="0.2">
      <c r="B11" s="435" t="s">
        <v>32</v>
      </c>
      <c r="C11" s="634" t="s">
        <v>775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6932294</v>
      </c>
      <c r="I18" s="133">
        <v>0</v>
      </c>
      <c r="J18" s="118">
        <v>5859156</v>
      </c>
      <c r="K18" s="118">
        <f>(H18+I18)-J18</f>
        <v>1073138</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1908</v>
      </c>
      <c r="G21" s="221">
        <v>8164</v>
      </c>
      <c r="H21" s="118">
        <v>106217</v>
      </c>
      <c r="I21" s="133">
        <f t="shared" ref="I21:I34" si="0">H21*F$114</f>
        <v>85079.81700000001</v>
      </c>
      <c r="J21" s="118">
        <v>4841</v>
      </c>
      <c r="K21" s="118">
        <f t="shared" ref="K21:K34" si="1">(H21+I21)-J21</f>
        <v>186455.81700000001</v>
      </c>
    </row>
    <row r="22" spans="1:11" ht="18" customHeight="1" x14ac:dyDescent="0.2">
      <c r="A22" s="435" t="s">
        <v>76</v>
      </c>
      <c r="B22" s="259" t="s">
        <v>6</v>
      </c>
      <c r="F22" s="221">
        <v>150</v>
      </c>
      <c r="G22" s="221">
        <v>366</v>
      </c>
      <c r="H22" s="118">
        <v>5894</v>
      </c>
      <c r="I22" s="133">
        <f t="shared" si="0"/>
        <v>4721.0940000000001</v>
      </c>
      <c r="J22" s="118">
        <v>0</v>
      </c>
      <c r="K22" s="118">
        <f t="shared" si="1"/>
        <v>10615.094000000001</v>
      </c>
    </row>
    <row r="23" spans="1:11" ht="18" customHeight="1" x14ac:dyDescent="0.2">
      <c r="A23" s="435" t="s">
        <v>77</v>
      </c>
      <c r="B23" s="259" t="s">
        <v>43</v>
      </c>
      <c r="F23" s="221">
        <v>632</v>
      </c>
      <c r="G23" s="221">
        <v>3384</v>
      </c>
      <c r="H23" s="118">
        <v>37110</v>
      </c>
      <c r="I23" s="133">
        <f t="shared" si="0"/>
        <v>29725.11</v>
      </c>
      <c r="J23" s="118">
        <v>5400</v>
      </c>
      <c r="K23" s="118">
        <f t="shared" si="1"/>
        <v>61435.11</v>
      </c>
    </row>
    <row r="24" spans="1:11" ht="18" customHeight="1" x14ac:dyDescent="0.2">
      <c r="A24" s="435" t="s">
        <v>78</v>
      </c>
      <c r="B24" s="259" t="s">
        <v>44</v>
      </c>
      <c r="F24" s="221">
        <v>0</v>
      </c>
      <c r="G24" s="221">
        <v>0</v>
      </c>
      <c r="H24" s="118">
        <v>0</v>
      </c>
      <c r="I24" s="133">
        <f t="shared" si="0"/>
        <v>0</v>
      </c>
      <c r="J24" s="118">
        <v>0</v>
      </c>
      <c r="K24" s="118">
        <f t="shared" si="1"/>
        <v>0</v>
      </c>
    </row>
    <row r="25" spans="1:11" ht="18" customHeight="1" x14ac:dyDescent="0.2">
      <c r="A25" s="435" t="s">
        <v>79</v>
      </c>
      <c r="B25" s="259" t="s">
        <v>5</v>
      </c>
      <c r="F25" s="221">
        <v>14.5</v>
      </c>
      <c r="G25" s="221">
        <v>123</v>
      </c>
      <c r="H25" s="118">
        <v>603</v>
      </c>
      <c r="I25" s="133">
        <f t="shared" si="0"/>
        <v>483.00300000000004</v>
      </c>
      <c r="J25" s="118">
        <v>0</v>
      </c>
      <c r="K25" s="118">
        <f t="shared" si="1"/>
        <v>1086.0030000000002</v>
      </c>
    </row>
    <row r="26" spans="1:11" ht="18" customHeight="1" x14ac:dyDescent="0.2">
      <c r="A26" s="435" t="s">
        <v>80</v>
      </c>
      <c r="B26" s="259" t="s">
        <v>45</v>
      </c>
      <c r="F26" s="221">
        <v>0</v>
      </c>
      <c r="G26" s="221">
        <v>0</v>
      </c>
      <c r="H26" s="118">
        <v>0</v>
      </c>
      <c r="I26" s="133">
        <f t="shared" si="0"/>
        <v>0</v>
      </c>
      <c r="J26" s="118">
        <v>0</v>
      </c>
      <c r="K26" s="118">
        <f t="shared" si="1"/>
        <v>0</v>
      </c>
    </row>
    <row r="27" spans="1:11" ht="18" customHeight="1" x14ac:dyDescent="0.2">
      <c r="A27" s="435" t="s">
        <v>81</v>
      </c>
      <c r="B27" s="259" t="s">
        <v>536</v>
      </c>
      <c r="F27" s="221">
        <v>0</v>
      </c>
      <c r="G27" s="221">
        <v>0</v>
      </c>
      <c r="H27" s="118">
        <v>0</v>
      </c>
      <c r="I27" s="133">
        <f t="shared" si="0"/>
        <v>0</v>
      </c>
      <c r="J27" s="118">
        <v>0</v>
      </c>
      <c r="K27" s="118">
        <f t="shared" si="1"/>
        <v>0</v>
      </c>
    </row>
    <row r="28" spans="1:11" ht="18" customHeight="1" x14ac:dyDescent="0.2">
      <c r="A28" s="435" t="s">
        <v>82</v>
      </c>
      <c r="B28" s="259" t="s">
        <v>47</v>
      </c>
      <c r="F28" s="221">
        <v>0</v>
      </c>
      <c r="G28" s="221">
        <v>0</v>
      </c>
      <c r="H28" s="118">
        <v>0</v>
      </c>
      <c r="I28" s="133">
        <f t="shared" si="0"/>
        <v>0</v>
      </c>
      <c r="J28" s="118">
        <v>0</v>
      </c>
      <c r="K28" s="118">
        <f t="shared" si="1"/>
        <v>0</v>
      </c>
    </row>
    <row r="29" spans="1:11" ht="18" customHeight="1" x14ac:dyDescent="0.2">
      <c r="A29" s="435" t="s">
        <v>83</v>
      </c>
      <c r="B29" s="259" t="s">
        <v>48</v>
      </c>
      <c r="F29" s="221">
        <v>14709</v>
      </c>
      <c r="G29" s="221">
        <v>11134</v>
      </c>
      <c r="H29" s="118">
        <v>583985</v>
      </c>
      <c r="I29" s="133">
        <f t="shared" si="0"/>
        <v>467771.98500000004</v>
      </c>
      <c r="J29" s="118">
        <v>0</v>
      </c>
      <c r="K29" s="118">
        <f t="shared" si="1"/>
        <v>1051756.9850000001</v>
      </c>
    </row>
    <row r="30" spans="1:11" ht="18" customHeight="1" x14ac:dyDescent="0.2">
      <c r="A30" s="435" t="s">
        <v>84</v>
      </c>
      <c r="B30" s="459" t="s">
        <v>563</v>
      </c>
      <c r="C30" s="460"/>
      <c r="D30" s="461"/>
      <c r="F30" s="221">
        <v>0</v>
      </c>
      <c r="G30" s="221">
        <v>0</v>
      </c>
      <c r="H30" s="118">
        <v>75012</v>
      </c>
      <c r="I30" s="133">
        <f t="shared" si="0"/>
        <v>60084.612000000001</v>
      </c>
      <c r="J30" s="118">
        <v>0</v>
      </c>
      <c r="K30" s="118">
        <f t="shared" si="1"/>
        <v>135096.61199999999</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17413.5</v>
      </c>
      <c r="G36" s="221">
        <f t="shared" si="2"/>
        <v>23171</v>
      </c>
      <c r="H36" s="221">
        <f t="shared" si="2"/>
        <v>808821</v>
      </c>
      <c r="I36" s="118">
        <f t="shared" si="2"/>
        <v>647865.62100000004</v>
      </c>
      <c r="J36" s="118">
        <f t="shared" si="2"/>
        <v>10241</v>
      </c>
      <c r="K36" s="118">
        <f t="shared" si="2"/>
        <v>1446445.621</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7500</v>
      </c>
      <c r="G40" s="221">
        <v>30000</v>
      </c>
      <c r="H40" s="118">
        <v>975000</v>
      </c>
      <c r="I40" s="133">
        <v>0</v>
      </c>
      <c r="J40" s="118">
        <v>0</v>
      </c>
      <c r="K40" s="118">
        <f t="shared" ref="K40:K47" si="3">(H40+I40)-J40</f>
        <v>975000</v>
      </c>
    </row>
    <row r="41" spans="1:11" ht="18" customHeight="1" x14ac:dyDescent="0.2">
      <c r="A41" s="435" t="s">
        <v>88</v>
      </c>
      <c r="B41" s="465" t="s">
        <v>50</v>
      </c>
      <c r="C41" s="466"/>
      <c r="F41" s="221">
        <v>763</v>
      </c>
      <c r="G41" s="221">
        <v>4965</v>
      </c>
      <c r="H41" s="118">
        <v>32217</v>
      </c>
      <c r="I41" s="133">
        <v>0</v>
      </c>
      <c r="J41" s="118">
        <v>0</v>
      </c>
      <c r="K41" s="118">
        <f t="shared" si="3"/>
        <v>32217</v>
      </c>
    </row>
    <row r="42" spans="1:11" ht="18" customHeight="1" x14ac:dyDescent="0.2">
      <c r="A42" s="435" t="s">
        <v>89</v>
      </c>
      <c r="B42" s="419" t="s">
        <v>11</v>
      </c>
      <c r="F42" s="221">
        <v>1756</v>
      </c>
      <c r="G42" s="221">
        <v>9968</v>
      </c>
      <c r="H42" s="118">
        <v>71754</v>
      </c>
      <c r="I42" s="133">
        <v>0</v>
      </c>
      <c r="J42" s="118">
        <v>0</v>
      </c>
      <c r="K42" s="118">
        <f t="shared" si="3"/>
        <v>71754</v>
      </c>
    </row>
    <row r="43" spans="1:11" ht="18" customHeight="1" x14ac:dyDescent="0.2">
      <c r="A43" s="435" t="s">
        <v>90</v>
      </c>
      <c r="B43" s="467" t="s">
        <v>10</v>
      </c>
      <c r="C43" s="468"/>
      <c r="D43" s="468"/>
      <c r="F43" s="221">
        <v>0</v>
      </c>
      <c r="G43" s="221">
        <v>0</v>
      </c>
      <c r="H43" s="118">
        <v>0</v>
      </c>
      <c r="I43" s="133">
        <v>0</v>
      </c>
      <c r="J43" s="118">
        <v>0</v>
      </c>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10019</v>
      </c>
      <c r="G49" s="409">
        <f t="shared" si="4"/>
        <v>44933</v>
      </c>
      <c r="H49" s="118">
        <f t="shared" si="4"/>
        <v>1078971</v>
      </c>
      <c r="I49" s="118">
        <f t="shared" si="4"/>
        <v>0</v>
      </c>
      <c r="J49" s="118">
        <f t="shared" si="4"/>
        <v>0</v>
      </c>
      <c r="K49" s="118">
        <f t="shared" si="4"/>
        <v>1078971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98</v>
      </c>
      <c r="B53" s="424" t="s">
        <v>395</v>
      </c>
      <c r="C53" s="425"/>
      <c r="D53" s="415"/>
      <c r="F53" s="221">
        <v>56468</v>
      </c>
      <c r="G53" s="221">
        <v>18610</v>
      </c>
      <c r="H53" s="118">
        <v>13222486</v>
      </c>
      <c r="I53" s="133">
        <v>2611385</v>
      </c>
      <c r="J53" s="118">
        <v>10870680</v>
      </c>
      <c r="K53" s="118">
        <f t="shared" ref="K53:K62" si="5">(H53+I53)-J53</f>
        <v>4963191</v>
      </c>
    </row>
    <row r="54" spans="1:11" ht="18" customHeight="1" x14ac:dyDescent="0.2">
      <c r="A54" s="435" t="s">
        <v>776</v>
      </c>
      <c r="B54" s="723" t="s">
        <v>777</v>
      </c>
      <c r="C54" s="414"/>
      <c r="D54" s="415"/>
      <c r="F54" s="407">
        <v>28377</v>
      </c>
      <c r="G54" s="407">
        <v>19534</v>
      </c>
      <c r="H54" s="724">
        <v>5675713</v>
      </c>
      <c r="I54" s="133">
        <v>2767371</v>
      </c>
      <c r="J54" s="134">
        <v>3478613</v>
      </c>
      <c r="K54" s="118">
        <f t="shared" si="5"/>
        <v>4964471</v>
      </c>
    </row>
    <row r="55" spans="1:11" ht="18" customHeight="1" x14ac:dyDescent="0.2">
      <c r="A55" s="435" t="s">
        <v>97</v>
      </c>
      <c r="B55" s="420" t="s">
        <v>394</v>
      </c>
      <c r="C55" s="414"/>
      <c r="D55" s="415"/>
      <c r="F55" s="407">
        <v>50135</v>
      </c>
      <c r="G55" s="407">
        <v>27174</v>
      </c>
      <c r="H55" s="724">
        <v>5258240</v>
      </c>
      <c r="I55" s="133">
        <v>2327506</v>
      </c>
      <c r="J55" s="134">
        <v>4225797</v>
      </c>
      <c r="K55" s="118">
        <f t="shared" si="5"/>
        <v>3359949</v>
      </c>
    </row>
    <row r="56" spans="1:11" ht="18" customHeight="1" x14ac:dyDescent="0.2">
      <c r="A56" s="435" t="s">
        <v>96</v>
      </c>
      <c r="B56" s="420" t="s">
        <v>393</v>
      </c>
      <c r="C56" s="414"/>
      <c r="D56" s="415"/>
      <c r="F56" s="221">
        <v>35114</v>
      </c>
      <c r="G56" s="221">
        <v>18281</v>
      </c>
      <c r="H56" s="118">
        <v>4800185</v>
      </c>
      <c r="I56" s="133">
        <v>1910005</v>
      </c>
      <c r="J56" s="118">
        <v>4500852</v>
      </c>
      <c r="K56" s="118">
        <f t="shared" si="5"/>
        <v>2209338</v>
      </c>
    </row>
    <row r="57" spans="1:11" ht="18" customHeight="1" x14ac:dyDescent="0.2">
      <c r="A57" s="435" t="s">
        <v>778</v>
      </c>
      <c r="B57" s="723" t="s">
        <v>779</v>
      </c>
      <c r="C57" s="414"/>
      <c r="D57" s="415"/>
      <c r="F57" s="407">
        <v>22239</v>
      </c>
      <c r="G57" s="407">
        <v>11107</v>
      </c>
      <c r="H57" s="724">
        <v>4641074</v>
      </c>
      <c r="I57" s="133">
        <v>2110429</v>
      </c>
      <c r="J57" s="134">
        <v>2958580</v>
      </c>
      <c r="K57" s="118">
        <f t="shared" si="5"/>
        <v>3792923</v>
      </c>
    </row>
    <row r="58" spans="1:11" ht="18" customHeight="1" x14ac:dyDescent="0.2">
      <c r="A58" s="435" t="s">
        <v>780</v>
      </c>
      <c r="B58" s="723" t="s">
        <v>781</v>
      </c>
      <c r="C58" s="414"/>
      <c r="D58" s="415"/>
      <c r="F58" s="407">
        <v>24617</v>
      </c>
      <c r="G58" s="407">
        <v>14109</v>
      </c>
      <c r="H58" s="724">
        <v>3795967</v>
      </c>
      <c r="I58" s="133">
        <v>1845127</v>
      </c>
      <c r="J58" s="134">
        <v>2381341</v>
      </c>
      <c r="K58" s="118">
        <f t="shared" si="5"/>
        <v>3259753</v>
      </c>
    </row>
    <row r="59" spans="1:11" ht="18" customHeight="1" x14ac:dyDescent="0.2">
      <c r="A59" s="435" t="s">
        <v>51</v>
      </c>
      <c r="B59" s="420" t="s">
        <v>564</v>
      </c>
      <c r="C59" s="414"/>
      <c r="D59" s="415"/>
      <c r="F59" s="221">
        <v>26274</v>
      </c>
      <c r="G59" s="221">
        <v>25214</v>
      </c>
      <c r="H59" s="118">
        <v>3576317</v>
      </c>
      <c r="I59" s="133">
        <v>1340933</v>
      </c>
      <c r="J59" s="118">
        <v>3532818</v>
      </c>
      <c r="K59" s="118">
        <f t="shared" si="5"/>
        <v>1384432</v>
      </c>
    </row>
    <row r="60" spans="1:11" ht="18" customHeight="1" x14ac:dyDescent="0.2">
      <c r="A60" s="435" t="s">
        <v>94</v>
      </c>
      <c r="B60" s="420" t="s">
        <v>345</v>
      </c>
      <c r="C60" s="414"/>
      <c r="D60" s="415"/>
      <c r="F60" s="221">
        <v>816</v>
      </c>
      <c r="G60" s="221">
        <v>7519</v>
      </c>
      <c r="H60" s="118">
        <v>2969180</v>
      </c>
      <c r="I60" s="133">
        <v>2378313</v>
      </c>
      <c r="J60" s="118">
        <v>0</v>
      </c>
      <c r="K60" s="118">
        <f t="shared" si="5"/>
        <v>5347493</v>
      </c>
    </row>
    <row r="61" spans="1:11" ht="18" customHeight="1" x14ac:dyDescent="0.2">
      <c r="A61" s="435" t="s">
        <v>95</v>
      </c>
      <c r="B61" s="420" t="s">
        <v>392</v>
      </c>
      <c r="C61" s="414"/>
      <c r="D61" s="415"/>
      <c r="F61" s="221">
        <v>15090</v>
      </c>
      <c r="G61" s="221">
        <v>12105</v>
      </c>
      <c r="H61" s="118">
        <v>2573313</v>
      </c>
      <c r="I61" s="133">
        <v>1218008</v>
      </c>
      <c r="J61" s="118">
        <v>1579508</v>
      </c>
      <c r="K61" s="118">
        <f t="shared" si="5"/>
        <v>2211813</v>
      </c>
    </row>
    <row r="62" spans="1:11" ht="18" customHeight="1" x14ac:dyDescent="0.2">
      <c r="A62" s="435"/>
      <c r="B62" s="413" t="s">
        <v>233</v>
      </c>
      <c r="C62" s="414"/>
      <c r="D62" s="415"/>
      <c r="F62" s="221">
        <v>92151</v>
      </c>
      <c r="G62" s="221">
        <v>38457</v>
      </c>
      <c r="H62" s="118">
        <v>8350595</v>
      </c>
      <c r="I62" s="133">
        <v>4137906</v>
      </c>
      <c r="J62" s="118">
        <v>5924284</v>
      </c>
      <c r="K62" s="118">
        <f t="shared" si="5"/>
        <v>6564217</v>
      </c>
    </row>
    <row r="63" spans="1:11" ht="18" customHeight="1" x14ac:dyDescent="0.2">
      <c r="A63" s="435"/>
      <c r="I63" s="129"/>
    </row>
    <row r="64" spans="1:11" ht="18" customHeight="1" x14ac:dyDescent="0.2">
      <c r="A64" s="435" t="s">
        <v>144</v>
      </c>
      <c r="B64" s="421" t="s">
        <v>145</v>
      </c>
      <c r="E64" s="421" t="s">
        <v>7</v>
      </c>
      <c r="F64" s="221">
        <f t="shared" ref="F64:K64" si="6">SUM(F53:F62)</f>
        <v>351281</v>
      </c>
      <c r="G64" s="221">
        <f t="shared" si="6"/>
        <v>192110</v>
      </c>
      <c r="H64" s="118">
        <f t="shared" si="6"/>
        <v>54863070</v>
      </c>
      <c r="I64" s="118">
        <f t="shared" si="6"/>
        <v>22646983</v>
      </c>
      <c r="J64" s="118">
        <f t="shared" si="6"/>
        <v>39452473</v>
      </c>
      <c r="K64" s="118">
        <f t="shared" si="6"/>
        <v>38057580</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0</v>
      </c>
      <c r="G68" s="122">
        <v>0</v>
      </c>
      <c r="H68" s="122">
        <v>0</v>
      </c>
      <c r="I68" s="133">
        <v>0</v>
      </c>
      <c r="J68" s="122">
        <v>0</v>
      </c>
      <c r="K68" s="118">
        <f>(H68+I68)-J68</f>
        <v>0</v>
      </c>
    </row>
    <row r="69" spans="1:11" ht="18" customHeight="1" x14ac:dyDescent="0.2">
      <c r="A69" s="435" t="s">
        <v>104</v>
      </c>
      <c r="B69" s="419" t="s">
        <v>53</v>
      </c>
      <c r="F69" s="122">
        <v>0</v>
      </c>
      <c r="G69" s="122">
        <v>0</v>
      </c>
      <c r="H69" s="122">
        <v>0</v>
      </c>
      <c r="I69" s="133">
        <v>0</v>
      </c>
      <c r="J69" s="122">
        <v>0</v>
      </c>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77983</v>
      </c>
      <c r="I77" s="133">
        <v>0</v>
      </c>
      <c r="J77" s="118">
        <v>0</v>
      </c>
      <c r="K77" s="118">
        <f>(H77+I77)-J77</f>
        <v>77983</v>
      </c>
    </row>
    <row r="78" spans="1:11" ht="18" customHeight="1" x14ac:dyDescent="0.2">
      <c r="A78" s="435" t="s">
        <v>108</v>
      </c>
      <c r="B78" s="419" t="s">
        <v>55</v>
      </c>
      <c r="F78" s="221">
        <v>0</v>
      </c>
      <c r="G78" s="221">
        <v>0</v>
      </c>
      <c r="H78" s="118">
        <v>0</v>
      </c>
      <c r="I78" s="133">
        <v>0</v>
      </c>
      <c r="J78" s="118">
        <v>0</v>
      </c>
      <c r="K78" s="118">
        <f>(H78+I78)-J78</f>
        <v>0</v>
      </c>
    </row>
    <row r="79" spans="1:11" ht="18" customHeight="1" x14ac:dyDescent="0.2">
      <c r="A79" s="435" t="s">
        <v>109</v>
      </c>
      <c r="B79" s="419" t="s">
        <v>13</v>
      </c>
      <c r="F79" s="221">
        <v>916</v>
      </c>
      <c r="G79" s="221">
        <v>2370</v>
      </c>
      <c r="H79" s="118">
        <v>191477</v>
      </c>
      <c r="I79" s="133">
        <v>0</v>
      </c>
      <c r="J79" s="118">
        <v>25494</v>
      </c>
      <c r="K79" s="118">
        <f>(H79+I79)-J79</f>
        <v>165983</v>
      </c>
    </row>
    <row r="80" spans="1:11" ht="18" customHeight="1" x14ac:dyDescent="0.2">
      <c r="A80" s="435" t="s">
        <v>110</v>
      </c>
      <c r="B80" s="419" t="s">
        <v>56</v>
      </c>
      <c r="F80" s="221">
        <v>0</v>
      </c>
      <c r="G80" s="221">
        <v>0</v>
      </c>
      <c r="H80" s="118">
        <v>0</v>
      </c>
      <c r="I80" s="133">
        <v>0</v>
      </c>
      <c r="J80" s="118">
        <v>0</v>
      </c>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916</v>
      </c>
      <c r="G82" s="122">
        <f t="shared" si="8"/>
        <v>2370</v>
      </c>
      <c r="H82" s="118">
        <f t="shared" si="8"/>
        <v>269460</v>
      </c>
      <c r="I82" s="118">
        <f t="shared" si="8"/>
        <v>0</v>
      </c>
      <c r="J82" s="118">
        <f t="shared" si="8"/>
        <v>25494</v>
      </c>
      <c r="K82" s="118">
        <f t="shared" si="8"/>
        <v>243966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0</v>
      </c>
      <c r="G86" s="221">
        <v>0</v>
      </c>
      <c r="H86" s="118">
        <v>0</v>
      </c>
      <c r="I86" s="133">
        <f t="shared" ref="I86:I96" si="9">H86*F$114</f>
        <v>0</v>
      </c>
      <c r="J86" s="118">
        <v>0</v>
      </c>
      <c r="K86" s="118">
        <f t="shared" ref="K86:K96" si="10">(H86+I86)-J86</f>
        <v>0</v>
      </c>
    </row>
    <row r="87" spans="1:11" ht="18" customHeight="1" x14ac:dyDescent="0.2">
      <c r="A87" s="435" t="s">
        <v>114</v>
      </c>
      <c r="B87" s="419" t="s">
        <v>14</v>
      </c>
      <c r="F87" s="221">
        <v>0</v>
      </c>
      <c r="G87" s="221">
        <v>0</v>
      </c>
      <c r="H87" s="118">
        <v>0</v>
      </c>
      <c r="I87" s="133">
        <f t="shared" si="9"/>
        <v>0</v>
      </c>
      <c r="J87" s="118">
        <v>0</v>
      </c>
      <c r="K87" s="118">
        <f t="shared" si="10"/>
        <v>0</v>
      </c>
    </row>
    <row r="88" spans="1:11" ht="18" customHeight="1" x14ac:dyDescent="0.2">
      <c r="A88" s="435" t="s">
        <v>115</v>
      </c>
      <c r="B88" s="419" t="s">
        <v>116</v>
      </c>
      <c r="F88" s="221">
        <v>104</v>
      </c>
      <c r="G88" s="221">
        <v>0</v>
      </c>
      <c r="H88" s="118">
        <v>7586</v>
      </c>
      <c r="I88" s="133">
        <f t="shared" si="9"/>
        <v>6076.3860000000004</v>
      </c>
      <c r="J88" s="118">
        <v>29991</v>
      </c>
      <c r="K88" s="118">
        <f t="shared" si="10"/>
        <v>-16328.614</v>
      </c>
    </row>
    <row r="89" spans="1:11" ht="18" customHeight="1" x14ac:dyDescent="0.2">
      <c r="A89" s="435" t="s">
        <v>117</v>
      </c>
      <c r="B89" s="419" t="s">
        <v>58</v>
      </c>
      <c r="F89" s="221">
        <v>0</v>
      </c>
      <c r="G89" s="221">
        <v>0</v>
      </c>
      <c r="H89" s="118">
        <v>0</v>
      </c>
      <c r="I89" s="133">
        <f t="shared" si="9"/>
        <v>0</v>
      </c>
      <c r="J89" s="118">
        <v>0</v>
      </c>
      <c r="K89" s="118">
        <f t="shared" si="10"/>
        <v>0</v>
      </c>
    </row>
    <row r="90" spans="1:11" ht="18" customHeight="1" x14ac:dyDescent="0.2">
      <c r="A90" s="435" t="s">
        <v>118</v>
      </c>
      <c r="B90" s="465" t="s">
        <v>59</v>
      </c>
      <c r="C90" s="466"/>
      <c r="F90" s="221">
        <v>0</v>
      </c>
      <c r="G90" s="221">
        <v>0</v>
      </c>
      <c r="H90" s="118">
        <v>0</v>
      </c>
      <c r="I90" s="133">
        <f t="shared" si="9"/>
        <v>0</v>
      </c>
      <c r="J90" s="118">
        <v>0</v>
      </c>
      <c r="K90" s="118">
        <f t="shared" si="10"/>
        <v>0</v>
      </c>
    </row>
    <row r="91" spans="1:11" ht="18" customHeight="1" x14ac:dyDescent="0.2">
      <c r="A91" s="435" t="s">
        <v>119</v>
      </c>
      <c r="B91" s="419" t="s">
        <v>60</v>
      </c>
      <c r="F91" s="221">
        <v>1619</v>
      </c>
      <c r="G91" s="221">
        <v>0</v>
      </c>
      <c r="H91" s="118">
        <v>73614</v>
      </c>
      <c r="I91" s="133">
        <f t="shared" si="9"/>
        <v>58964.814000000006</v>
      </c>
      <c r="J91" s="118">
        <v>0</v>
      </c>
      <c r="K91" s="118">
        <f t="shared" si="10"/>
        <v>132578.81400000001</v>
      </c>
    </row>
    <row r="92" spans="1:11" ht="18" customHeight="1" x14ac:dyDescent="0.2">
      <c r="A92" s="435" t="s">
        <v>120</v>
      </c>
      <c r="B92" s="419" t="s">
        <v>121</v>
      </c>
      <c r="F92" s="257">
        <v>0</v>
      </c>
      <c r="G92" s="257">
        <v>0</v>
      </c>
      <c r="H92" s="429">
        <v>0</v>
      </c>
      <c r="I92" s="133">
        <f t="shared" si="9"/>
        <v>0</v>
      </c>
      <c r="J92" s="429">
        <v>0</v>
      </c>
      <c r="K92" s="118">
        <f t="shared" si="10"/>
        <v>0</v>
      </c>
    </row>
    <row r="93" spans="1:11" ht="18" customHeight="1" x14ac:dyDescent="0.2">
      <c r="A93" s="435" t="s">
        <v>122</v>
      </c>
      <c r="B93" s="419" t="s">
        <v>123</v>
      </c>
      <c r="F93" s="221">
        <v>2080</v>
      </c>
      <c r="G93" s="221">
        <v>0</v>
      </c>
      <c r="H93" s="118">
        <v>692193</v>
      </c>
      <c r="I93" s="133">
        <f t="shared" si="9"/>
        <v>554446.59299999999</v>
      </c>
      <c r="J93" s="118">
        <v>0</v>
      </c>
      <c r="K93" s="118">
        <f t="shared" si="10"/>
        <v>1246639.5929999999</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3803</v>
      </c>
      <c r="G98" s="221">
        <f t="shared" si="11"/>
        <v>0</v>
      </c>
      <c r="H98" s="221">
        <f t="shared" si="11"/>
        <v>773393</v>
      </c>
      <c r="I98" s="221">
        <f t="shared" si="11"/>
        <v>619487.79299999995</v>
      </c>
      <c r="J98" s="221">
        <f t="shared" si="11"/>
        <v>29991</v>
      </c>
      <c r="K98" s="221">
        <f t="shared" si="11"/>
        <v>1362889.7929999998</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208</v>
      </c>
      <c r="G102" s="221">
        <v>0</v>
      </c>
      <c r="H102" s="118">
        <v>11327</v>
      </c>
      <c r="I102" s="133">
        <f>H102*F$114</f>
        <v>9072.9269999999997</v>
      </c>
      <c r="J102" s="118">
        <v>0</v>
      </c>
      <c r="K102" s="118">
        <f>(H102+I102)-J102</f>
        <v>20399.927</v>
      </c>
    </row>
    <row r="103" spans="1:11" ht="18" customHeight="1" x14ac:dyDescent="0.2">
      <c r="A103" s="435" t="s">
        <v>132</v>
      </c>
      <c r="B103" s="465" t="s">
        <v>62</v>
      </c>
      <c r="C103" s="465"/>
      <c r="F103" s="221">
        <v>44</v>
      </c>
      <c r="G103" s="221">
        <v>0</v>
      </c>
      <c r="H103" s="118">
        <v>2004</v>
      </c>
      <c r="I103" s="133">
        <f>H103*F$114</f>
        <v>1605.2040000000002</v>
      </c>
      <c r="J103" s="118">
        <v>0</v>
      </c>
      <c r="K103" s="118">
        <f>(H103+I103)-J103</f>
        <v>3609.2040000000002</v>
      </c>
    </row>
    <row r="104" spans="1:11" ht="18" customHeight="1" x14ac:dyDescent="0.2">
      <c r="A104" s="435" t="s">
        <v>128</v>
      </c>
      <c r="B104" s="418" t="s">
        <v>455</v>
      </c>
      <c r="C104" s="417"/>
      <c r="D104" s="412"/>
      <c r="F104" s="221">
        <v>0</v>
      </c>
      <c r="G104" s="221">
        <v>0</v>
      </c>
      <c r="H104" s="118">
        <v>1195</v>
      </c>
      <c r="I104" s="133">
        <f>H104*F$114</f>
        <v>957.19500000000005</v>
      </c>
      <c r="J104" s="118">
        <v>0</v>
      </c>
      <c r="K104" s="118">
        <f>(H104+I104)-J104</f>
        <v>2152.1950000000002</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252</v>
      </c>
      <c r="G108" s="221">
        <f t="shared" si="12"/>
        <v>0</v>
      </c>
      <c r="H108" s="118">
        <f t="shared" si="12"/>
        <v>14526</v>
      </c>
      <c r="I108" s="118">
        <f t="shared" si="12"/>
        <v>11635.325999999999</v>
      </c>
      <c r="J108" s="118">
        <f t="shared" si="12"/>
        <v>0</v>
      </c>
      <c r="K108" s="118">
        <f t="shared" si="12"/>
        <v>26161.326000000001</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10489666</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0.80100000000000005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327223922</v>
      </c>
    </row>
    <row r="118" spans="1:6" ht="18" customHeight="1" x14ac:dyDescent="0.2">
      <c r="A118" s="435" t="s">
        <v>173</v>
      </c>
      <c r="B118" s="259" t="s">
        <v>18</v>
      </c>
      <c r="F118" s="118">
        <v>6759014</v>
      </c>
    </row>
    <row r="119" spans="1:6" ht="18" customHeight="1" x14ac:dyDescent="0.2">
      <c r="A119" s="435" t="s">
        <v>174</v>
      </c>
      <c r="B119" s="421" t="s">
        <v>19</v>
      </c>
      <c r="F119" s="118">
        <f>SUM(F117:F118)</f>
        <v>333982936</v>
      </c>
    </row>
    <row r="120" spans="1:6" ht="18" customHeight="1" x14ac:dyDescent="0.2">
      <c r="A120" s="435"/>
      <c r="B120" s="421"/>
    </row>
    <row r="121" spans="1:6" ht="18" customHeight="1" x14ac:dyDescent="0.2">
      <c r="A121" s="435" t="s">
        <v>167</v>
      </c>
      <c r="B121" s="421" t="s">
        <v>36</v>
      </c>
      <c r="F121" s="118">
        <v>323338357</v>
      </c>
    </row>
    <row r="122" spans="1:6" ht="18" customHeight="1" x14ac:dyDescent="0.2">
      <c r="A122" s="435"/>
    </row>
    <row r="123" spans="1:6" ht="18" customHeight="1" x14ac:dyDescent="0.2">
      <c r="A123" s="435" t="s">
        <v>175</v>
      </c>
      <c r="B123" s="421" t="s">
        <v>20</v>
      </c>
      <c r="F123" s="118">
        <v>10644580</v>
      </c>
    </row>
    <row r="124" spans="1:6" ht="18" customHeight="1" x14ac:dyDescent="0.2">
      <c r="A124" s="435"/>
    </row>
    <row r="125" spans="1:6" ht="18" customHeight="1" x14ac:dyDescent="0.2">
      <c r="A125" s="435" t="s">
        <v>176</v>
      </c>
      <c r="B125" s="421" t="s">
        <v>21</v>
      </c>
      <c r="F125" s="118">
        <v>11135021</v>
      </c>
    </row>
    <row r="126" spans="1:6" ht="18" customHeight="1" x14ac:dyDescent="0.2">
      <c r="A126" s="435"/>
    </row>
    <row r="127" spans="1:6" ht="18" customHeight="1" x14ac:dyDescent="0.2">
      <c r="A127" s="435" t="s">
        <v>177</v>
      </c>
      <c r="B127" s="421" t="s">
        <v>22</v>
      </c>
      <c r="F127" s="118">
        <v>21779601</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v>55</v>
      </c>
      <c r="G131" s="221">
        <v>147</v>
      </c>
      <c r="H131" s="118">
        <v>23451</v>
      </c>
      <c r="I131" s="133">
        <v>0</v>
      </c>
      <c r="J131" s="118">
        <v>21030</v>
      </c>
      <c r="K131" s="118">
        <f>(H131+I131)-J131</f>
        <v>2421</v>
      </c>
    </row>
    <row r="132" spans="1:11" ht="18" customHeight="1" x14ac:dyDescent="0.2">
      <c r="A132" s="435" t="s">
        <v>159</v>
      </c>
      <c r="B132" s="259" t="s">
        <v>25</v>
      </c>
      <c r="F132" s="221">
        <v>4</v>
      </c>
      <c r="G132" s="221">
        <v>1508</v>
      </c>
      <c r="H132" s="118">
        <v>68310</v>
      </c>
      <c r="I132" s="133">
        <v>0</v>
      </c>
      <c r="J132" s="118">
        <v>68000</v>
      </c>
      <c r="K132" s="118">
        <f>(H132+I132)-J132</f>
        <v>310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59</v>
      </c>
      <c r="G137" s="221">
        <f t="shared" si="13"/>
        <v>1655</v>
      </c>
      <c r="H137" s="118">
        <f t="shared" si="13"/>
        <v>91761</v>
      </c>
      <c r="I137" s="118">
        <f t="shared" si="13"/>
        <v>0</v>
      </c>
      <c r="J137" s="118">
        <f t="shared" si="13"/>
        <v>89030</v>
      </c>
      <c r="K137" s="118">
        <f t="shared" si="13"/>
        <v>2731</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17413.5</v>
      </c>
      <c r="G141" s="422">
        <f t="shared" si="14"/>
        <v>23171</v>
      </c>
      <c r="H141" s="422">
        <f t="shared" si="14"/>
        <v>808821</v>
      </c>
      <c r="I141" s="422">
        <f t="shared" si="14"/>
        <v>647865.62100000004</v>
      </c>
      <c r="J141" s="422">
        <f t="shared" si="14"/>
        <v>10241</v>
      </c>
      <c r="K141" s="422">
        <f t="shared" si="14"/>
        <v>1446445.621</v>
      </c>
    </row>
    <row r="142" spans="1:11" ht="18" customHeight="1" x14ac:dyDescent="0.2">
      <c r="A142" s="435" t="s">
        <v>142</v>
      </c>
      <c r="B142" s="421" t="s">
        <v>65</v>
      </c>
      <c r="F142" s="422">
        <f t="shared" ref="F142:K142" si="15">F49</f>
        <v>10019</v>
      </c>
      <c r="G142" s="422">
        <f t="shared" si="15"/>
        <v>44933</v>
      </c>
      <c r="H142" s="422">
        <f t="shared" si="15"/>
        <v>1078971</v>
      </c>
      <c r="I142" s="422">
        <f t="shared" si="15"/>
        <v>0</v>
      </c>
      <c r="J142" s="422">
        <f t="shared" si="15"/>
        <v>0</v>
      </c>
      <c r="K142" s="422">
        <f t="shared" si="15"/>
        <v>1078971</v>
      </c>
    </row>
    <row r="143" spans="1:11" ht="18" customHeight="1" x14ac:dyDescent="0.2">
      <c r="A143" s="435" t="s">
        <v>144</v>
      </c>
      <c r="B143" s="421" t="s">
        <v>66</v>
      </c>
      <c r="F143" s="422">
        <f t="shared" ref="F143:K143" si="16">F64</f>
        <v>351281</v>
      </c>
      <c r="G143" s="422">
        <f t="shared" si="16"/>
        <v>192110</v>
      </c>
      <c r="H143" s="422">
        <f t="shared" si="16"/>
        <v>54863070</v>
      </c>
      <c r="I143" s="422">
        <f t="shared" si="16"/>
        <v>22646983</v>
      </c>
      <c r="J143" s="422">
        <f t="shared" si="16"/>
        <v>39452473</v>
      </c>
      <c r="K143" s="422">
        <f t="shared" si="16"/>
        <v>38057580</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916</v>
      </c>
      <c r="G145" s="422">
        <f t="shared" si="18"/>
        <v>2370</v>
      </c>
      <c r="H145" s="422">
        <f t="shared" si="18"/>
        <v>269460</v>
      </c>
      <c r="I145" s="422">
        <f t="shared" si="18"/>
        <v>0</v>
      </c>
      <c r="J145" s="422">
        <f t="shared" si="18"/>
        <v>25494</v>
      </c>
      <c r="K145" s="422">
        <f t="shared" si="18"/>
        <v>243966</v>
      </c>
    </row>
    <row r="146" spans="1:11" ht="18" customHeight="1" x14ac:dyDescent="0.2">
      <c r="A146" s="435" t="s">
        <v>150</v>
      </c>
      <c r="B146" s="421" t="s">
        <v>69</v>
      </c>
      <c r="F146" s="422">
        <f t="shared" ref="F146:K146" si="19">F98</f>
        <v>3803</v>
      </c>
      <c r="G146" s="422">
        <f t="shared" si="19"/>
        <v>0</v>
      </c>
      <c r="H146" s="422">
        <f t="shared" si="19"/>
        <v>773393</v>
      </c>
      <c r="I146" s="422">
        <f t="shared" si="19"/>
        <v>619487.79299999995</v>
      </c>
      <c r="J146" s="422">
        <f t="shared" si="19"/>
        <v>29991</v>
      </c>
      <c r="K146" s="422">
        <f t="shared" si="19"/>
        <v>1362889.7929999998</v>
      </c>
    </row>
    <row r="147" spans="1:11" ht="18" customHeight="1" x14ac:dyDescent="0.2">
      <c r="A147" s="435" t="s">
        <v>153</v>
      </c>
      <c r="B147" s="421" t="s">
        <v>61</v>
      </c>
      <c r="F147" s="221">
        <f t="shared" ref="F147:K147" si="20">F108</f>
        <v>252</v>
      </c>
      <c r="G147" s="221">
        <f t="shared" si="20"/>
        <v>0</v>
      </c>
      <c r="H147" s="221">
        <f t="shared" si="20"/>
        <v>14526</v>
      </c>
      <c r="I147" s="221">
        <f t="shared" si="20"/>
        <v>11635.325999999999</v>
      </c>
      <c r="J147" s="221">
        <f t="shared" si="20"/>
        <v>0</v>
      </c>
      <c r="K147" s="221">
        <f t="shared" si="20"/>
        <v>26161.326000000001</v>
      </c>
    </row>
    <row r="148" spans="1:11" ht="18" customHeight="1" x14ac:dyDescent="0.2">
      <c r="A148" s="435" t="s">
        <v>155</v>
      </c>
      <c r="B148" s="421" t="s">
        <v>70</v>
      </c>
      <c r="F148" s="485" t="s">
        <v>73</v>
      </c>
      <c r="G148" s="485" t="s">
        <v>73</v>
      </c>
      <c r="H148" s="486" t="s">
        <v>73</v>
      </c>
      <c r="I148" s="486" t="s">
        <v>73</v>
      </c>
      <c r="J148" s="486" t="s">
        <v>73</v>
      </c>
      <c r="K148" s="423">
        <f>F111</f>
        <v>10489666</v>
      </c>
    </row>
    <row r="149" spans="1:11" ht="18" customHeight="1" x14ac:dyDescent="0.2">
      <c r="A149" s="435" t="s">
        <v>163</v>
      </c>
      <c r="B149" s="421" t="s">
        <v>71</v>
      </c>
      <c r="F149" s="221">
        <f t="shared" ref="F149:K149" si="21">F137</f>
        <v>59</v>
      </c>
      <c r="G149" s="221">
        <f t="shared" si="21"/>
        <v>1655</v>
      </c>
      <c r="H149" s="221">
        <f t="shared" si="21"/>
        <v>91761</v>
      </c>
      <c r="I149" s="221">
        <f t="shared" si="21"/>
        <v>0</v>
      </c>
      <c r="J149" s="221">
        <f t="shared" si="21"/>
        <v>89030</v>
      </c>
      <c r="K149" s="221">
        <f t="shared" si="21"/>
        <v>2731</v>
      </c>
    </row>
    <row r="150" spans="1:11" ht="18" customHeight="1" x14ac:dyDescent="0.2">
      <c r="A150" s="435" t="s">
        <v>185</v>
      </c>
      <c r="B150" s="421" t="s">
        <v>186</v>
      </c>
      <c r="F150" s="485" t="s">
        <v>73</v>
      </c>
      <c r="G150" s="485" t="s">
        <v>73</v>
      </c>
      <c r="H150" s="221">
        <f>H18</f>
        <v>6932294</v>
      </c>
      <c r="I150" s="221">
        <f>I18</f>
        <v>0</v>
      </c>
      <c r="J150" s="221">
        <f>J18</f>
        <v>5859156</v>
      </c>
      <c r="K150" s="221">
        <f>K18</f>
        <v>1073138</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383743.5</v>
      </c>
      <c r="G152" s="487">
        <f t="shared" si="22"/>
        <v>264239</v>
      </c>
      <c r="H152" s="487">
        <f t="shared" si="22"/>
        <v>64832296</v>
      </c>
      <c r="I152" s="487">
        <f t="shared" si="22"/>
        <v>23925971.740000002</v>
      </c>
      <c r="J152" s="487">
        <f t="shared" si="22"/>
        <v>45466385</v>
      </c>
      <c r="K152" s="487">
        <f t="shared" si="22"/>
        <v>53781548.739999995</v>
      </c>
    </row>
    <row r="154" spans="1:11" ht="18" customHeight="1" x14ac:dyDescent="0.2">
      <c r="A154" s="455" t="s">
        <v>168</v>
      </c>
      <c r="B154" s="421" t="s">
        <v>28</v>
      </c>
      <c r="F154" s="140">
        <f>K152/F121</f>
        <v>0.16633210250400324</v>
      </c>
    </row>
    <row r="155" spans="1:11" ht="18" customHeight="1" x14ac:dyDescent="0.2">
      <c r="A155" s="455" t="s">
        <v>169</v>
      </c>
      <c r="B155" s="421" t="s">
        <v>72</v>
      </c>
      <c r="F155" s="140">
        <f>K152/F127</f>
        <v>2.4693541787106197</v>
      </c>
      <c r="G155" s="421"/>
    </row>
    <row r="156" spans="1:11" ht="18" customHeight="1" x14ac:dyDescent="0.2">
      <c r="G156" s="421"/>
    </row>
  </sheetData>
  <sheetProtection algorithmName="SHA-512" hashValue="szp9anIZE+zB+5WsHSybdM/mjfJiBqta3HXYPuJKGebhcn3/jXPtVy2VIGDvfdcfcz8/hY5Zd6Xt4g2812MuZQ==" saltValue="sEwS+KFdF+q/l2dSCN7jXw==" spinCount="100000" sheet="1" objects="1" scenarios="1"/>
  <mergeCells count="27">
    <mergeCell ref="B52:C52"/>
    <mergeCell ref="B90:C90"/>
    <mergeCell ref="B134:D134"/>
    <mergeCell ref="B135:D135"/>
    <mergeCell ref="B133:D133"/>
    <mergeCell ref="B104:D104"/>
    <mergeCell ref="B105:D105"/>
    <mergeCell ref="B106:D106"/>
    <mergeCell ref="B103:C103"/>
    <mergeCell ref="B96:D96"/>
    <mergeCell ref="B95:D95"/>
    <mergeCell ref="B94:D9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s>
  <hyperlinks>
    <hyperlink ref="C11" r:id="rId1"/>
  </hyperlinks>
  <printOptions headings="1" gridLines="1"/>
  <pageMargins left="0.17" right="0.16" top="0.35" bottom="0.32" header="0.17" footer="0.17"/>
  <pageSetup scale="59" fitToHeight="3" orientation="landscape" horizontalDpi="1200"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156"/>
  <sheetViews>
    <sheetView zoomScale="80" zoomScaleNormal="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694</v>
      </c>
      <c r="D5" s="437"/>
      <c r="E5" s="437"/>
      <c r="F5" s="437"/>
      <c r="G5" s="438"/>
    </row>
    <row r="6" spans="1:11" ht="18" customHeight="1" x14ac:dyDescent="0.2">
      <c r="B6" s="435" t="s">
        <v>3</v>
      </c>
      <c r="C6" s="439">
        <v>210028</v>
      </c>
      <c r="D6" s="440"/>
      <c r="E6" s="440"/>
      <c r="F6" s="440"/>
      <c r="G6" s="441"/>
    </row>
    <row r="7" spans="1:11" ht="18" customHeight="1" x14ac:dyDescent="0.2">
      <c r="B7" s="435" t="s">
        <v>4</v>
      </c>
      <c r="C7" s="492">
        <v>1200</v>
      </c>
      <c r="D7" s="493"/>
      <c r="E7" s="493"/>
      <c r="F7" s="493"/>
      <c r="G7" s="494"/>
    </row>
    <row r="9" spans="1:11" ht="18" customHeight="1" x14ac:dyDescent="0.2">
      <c r="B9" s="435" t="s">
        <v>1</v>
      </c>
      <c r="C9" s="436" t="s">
        <v>500</v>
      </c>
      <c r="D9" s="437"/>
      <c r="E9" s="437"/>
      <c r="F9" s="437"/>
      <c r="G9" s="438"/>
    </row>
    <row r="10" spans="1:11" ht="18" customHeight="1" x14ac:dyDescent="0.2">
      <c r="B10" s="435" t="s">
        <v>2</v>
      </c>
      <c r="C10" s="445" t="s">
        <v>501</v>
      </c>
      <c r="D10" s="446"/>
      <c r="E10" s="446"/>
      <c r="F10" s="446"/>
      <c r="G10" s="447"/>
    </row>
    <row r="11" spans="1:11" ht="18" customHeight="1" x14ac:dyDescent="0.2">
      <c r="B11" s="435" t="s">
        <v>32</v>
      </c>
      <c r="C11" s="495" t="s">
        <v>502</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3825609.2200778616</v>
      </c>
      <c r="I18" s="133">
        <v>0</v>
      </c>
      <c r="J18" s="118">
        <v>3233394.6993009197</v>
      </c>
      <c r="K18" s="118">
        <f>(H18+I18)-J18</f>
        <v>592214.52077694191</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3892.5</v>
      </c>
      <c r="G21" s="221">
        <v>14702</v>
      </c>
      <c r="H21" s="118">
        <v>179537</v>
      </c>
      <c r="I21" s="133">
        <v>97535</v>
      </c>
      <c r="J21" s="118">
        <v>15647</v>
      </c>
      <c r="K21" s="118">
        <f t="shared" ref="K21:K34" si="0">(H21+I21)-J21</f>
        <v>261425</v>
      </c>
    </row>
    <row r="22" spans="1:11" ht="18" customHeight="1" x14ac:dyDescent="0.2">
      <c r="A22" s="435" t="s">
        <v>76</v>
      </c>
      <c r="B22" s="259" t="s">
        <v>6</v>
      </c>
      <c r="F22" s="221">
        <v>229.5</v>
      </c>
      <c r="G22" s="221">
        <v>757</v>
      </c>
      <c r="H22" s="118">
        <v>11041</v>
      </c>
      <c r="I22" s="133">
        <v>6921</v>
      </c>
      <c r="J22" s="118"/>
      <c r="K22" s="118">
        <f t="shared" si="0"/>
        <v>17962</v>
      </c>
    </row>
    <row r="23" spans="1:11" ht="18" customHeight="1" x14ac:dyDescent="0.2">
      <c r="A23" s="435" t="s">
        <v>77</v>
      </c>
      <c r="B23" s="259" t="s">
        <v>43</v>
      </c>
      <c r="F23" s="221"/>
      <c r="G23" s="221"/>
      <c r="H23" s="118"/>
      <c r="I23" s="133">
        <f t="shared" ref="I23:I34" si="1">H23*F$114</f>
        <v>0</v>
      </c>
      <c r="J23" s="118"/>
      <c r="K23" s="118">
        <f t="shared" si="0"/>
        <v>0</v>
      </c>
    </row>
    <row r="24" spans="1:11" ht="18" customHeight="1" x14ac:dyDescent="0.2">
      <c r="A24" s="435" t="s">
        <v>78</v>
      </c>
      <c r="B24" s="259" t="s">
        <v>44</v>
      </c>
      <c r="F24" s="221">
        <v>1450.5</v>
      </c>
      <c r="G24" s="221">
        <v>12267</v>
      </c>
      <c r="H24" s="118">
        <v>89292</v>
      </c>
      <c r="I24" s="133">
        <v>57129</v>
      </c>
      <c r="J24" s="118">
        <v>27914</v>
      </c>
      <c r="K24" s="118">
        <f t="shared" si="0"/>
        <v>118507</v>
      </c>
    </row>
    <row r="25" spans="1:11" ht="18" customHeight="1" x14ac:dyDescent="0.2">
      <c r="A25" s="435" t="s">
        <v>79</v>
      </c>
      <c r="B25" s="259" t="s">
        <v>5</v>
      </c>
      <c r="F25" s="221">
        <v>197.5</v>
      </c>
      <c r="G25" s="221">
        <v>783</v>
      </c>
      <c r="H25" s="118">
        <v>8239</v>
      </c>
      <c r="I25" s="133">
        <v>2619</v>
      </c>
      <c r="J25" s="118"/>
      <c r="K25" s="118">
        <f t="shared" si="0"/>
        <v>10858</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12101</v>
      </c>
      <c r="G29" s="221">
        <v>2501</v>
      </c>
      <c r="H29" s="118">
        <v>470676</v>
      </c>
      <c r="I29" s="133">
        <v>222301</v>
      </c>
      <c r="J29" s="118"/>
      <c r="K29" s="118">
        <f t="shared" si="0"/>
        <v>692977</v>
      </c>
    </row>
    <row r="30" spans="1:11" ht="18" customHeight="1" x14ac:dyDescent="0.2">
      <c r="A30" s="435" t="s">
        <v>84</v>
      </c>
      <c r="B30" s="456"/>
      <c r="C30" s="457"/>
      <c r="D30" s="458"/>
      <c r="F30" s="221"/>
      <c r="G30" s="221"/>
      <c r="H30" s="118"/>
      <c r="I30" s="133">
        <f t="shared" si="1"/>
        <v>0</v>
      </c>
      <c r="J30" s="118"/>
      <c r="K30" s="118">
        <f t="shared" si="0"/>
        <v>0</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17871</v>
      </c>
      <c r="G36" s="221">
        <f t="shared" si="2"/>
        <v>31010</v>
      </c>
      <c r="H36" s="221">
        <f t="shared" si="2"/>
        <v>758785</v>
      </c>
      <c r="I36" s="118">
        <f t="shared" si="2"/>
        <v>386505</v>
      </c>
      <c r="J36" s="118">
        <f t="shared" si="2"/>
        <v>43561</v>
      </c>
      <c r="K36" s="118">
        <f t="shared" si="2"/>
        <v>1101729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c r="G41" s="221"/>
      <c r="H41" s="118"/>
      <c r="I41" s="133">
        <v>0</v>
      </c>
      <c r="J41" s="118"/>
      <c r="K41" s="118">
        <f t="shared" si="3"/>
        <v>0</v>
      </c>
    </row>
    <row r="42" spans="1:11" ht="18" customHeight="1" x14ac:dyDescent="0.2">
      <c r="A42" s="435" t="s">
        <v>89</v>
      </c>
      <c r="B42" s="419" t="s">
        <v>11</v>
      </c>
      <c r="F42" s="221">
        <v>562.5</v>
      </c>
      <c r="G42" s="221">
        <v>119</v>
      </c>
      <c r="H42" s="118">
        <v>25698</v>
      </c>
      <c r="I42" s="133">
        <v>18168</v>
      </c>
      <c r="J42" s="118"/>
      <c r="K42" s="118">
        <f t="shared" si="3"/>
        <v>43866</v>
      </c>
    </row>
    <row r="43" spans="1:11" ht="18" customHeight="1" x14ac:dyDescent="0.2">
      <c r="A43" s="435" t="s">
        <v>90</v>
      </c>
      <c r="B43" s="467" t="s">
        <v>10</v>
      </c>
      <c r="C43" s="468"/>
      <c r="D43" s="468"/>
      <c r="F43" s="221"/>
      <c r="G43" s="221"/>
      <c r="H43" s="118">
        <v>162130</v>
      </c>
      <c r="I43" s="133">
        <v>0</v>
      </c>
      <c r="J43" s="118"/>
      <c r="K43" s="118">
        <f t="shared" si="3"/>
        <v>162130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562.5</v>
      </c>
      <c r="G49" s="409">
        <f t="shared" si="4"/>
        <v>119</v>
      </c>
      <c r="H49" s="118">
        <f t="shared" si="4"/>
        <v>187828</v>
      </c>
      <c r="I49" s="118">
        <f t="shared" si="4"/>
        <v>18168</v>
      </c>
      <c r="J49" s="118">
        <f t="shared" si="4"/>
        <v>0</v>
      </c>
      <c r="K49" s="118">
        <f t="shared" si="4"/>
        <v>205996</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324</v>
      </c>
      <c r="C53" s="411"/>
      <c r="D53" s="412"/>
      <c r="F53" s="221"/>
      <c r="G53" s="221"/>
      <c r="H53" s="118">
        <v>1926031</v>
      </c>
      <c r="I53" s="133">
        <v>0</v>
      </c>
      <c r="J53" s="118"/>
      <c r="K53" s="118">
        <f t="shared" ref="K53:K62" si="5">(H53+I53)-J53</f>
        <v>1926031</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t="s">
        <v>325</v>
      </c>
      <c r="C55" s="417"/>
      <c r="D55" s="412"/>
      <c r="F55" s="221"/>
      <c r="G55" s="221"/>
      <c r="H55" s="118">
        <v>8451967</v>
      </c>
      <c r="I55" s="133">
        <v>0</v>
      </c>
      <c r="J55" s="118">
        <v>3733898</v>
      </c>
      <c r="K55" s="118">
        <f t="shared" si="5"/>
        <v>4718069</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t="s">
        <v>695</v>
      </c>
      <c r="C57" s="417"/>
      <c r="D57" s="412"/>
      <c r="F57" s="221"/>
      <c r="G57" s="221"/>
      <c r="H57" s="118">
        <v>1052735</v>
      </c>
      <c r="I57" s="133">
        <v>0</v>
      </c>
      <c r="J57" s="118">
        <v>22934</v>
      </c>
      <c r="K57" s="118">
        <f t="shared" si="5"/>
        <v>1029801</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t="s">
        <v>696</v>
      </c>
      <c r="C60" s="414"/>
      <c r="D60" s="415"/>
      <c r="F60" s="221"/>
      <c r="G60" s="221"/>
      <c r="H60" s="118">
        <v>486128</v>
      </c>
      <c r="I60" s="133">
        <v>0</v>
      </c>
      <c r="J60" s="118"/>
      <c r="K60" s="118">
        <f t="shared" si="5"/>
        <v>486128</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11916861</v>
      </c>
      <c r="I64" s="118">
        <f t="shared" si="6"/>
        <v>0</v>
      </c>
      <c r="J64" s="118">
        <f t="shared" si="6"/>
        <v>3756832</v>
      </c>
      <c r="K64" s="118">
        <f t="shared" si="6"/>
        <v>8160029</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v>1000</v>
      </c>
      <c r="H77" s="118">
        <v>39918</v>
      </c>
      <c r="I77" s="133">
        <v>0</v>
      </c>
      <c r="J77" s="118"/>
      <c r="K77" s="118">
        <f>(H77+I77)-J77</f>
        <v>39918</v>
      </c>
    </row>
    <row r="78" spans="1:11" ht="18" customHeight="1" x14ac:dyDescent="0.2">
      <c r="A78" s="435" t="s">
        <v>108</v>
      </c>
      <c r="B78" s="419" t="s">
        <v>55</v>
      </c>
      <c r="F78" s="221"/>
      <c r="G78" s="221"/>
      <c r="H78" s="118">
        <v>15200</v>
      </c>
      <c r="I78" s="133">
        <v>0</v>
      </c>
      <c r="J78" s="118"/>
      <c r="K78" s="118">
        <f>(H78+I78)-J78</f>
        <v>15200</v>
      </c>
    </row>
    <row r="79" spans="1:11" ht="18" customHeight="1" x14ac:dyDescent="0.2">
      <c r="A79" s="435" t="s">
        <v>109</v>
      </c>
      <c r="B79" s="419" t="s">
        <v>13</v>
      </c>
      <c r="F79" s="221">
        <v>166</v>
      </c>
      <c r="G79" s="221">
        <v>201</v>
      </c>
      <c r="H79" s="118">
        <v>13505</v>
      </c>
      <c r="I79" s="133">
        <v>9373</v>
      </c>
      <c r="J79" s="118"/>
      <c r="K79" s="118">
        <f>(H79+I79)-J79</f>
        <v>22878</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166</v>
      </c>
      <c r="G82" s="122">
        <f t="shared" si="8"/>
        <v>1201</v>
      </c>
      <c r="H82" s="118">
        <f t="shared" si="8"/>
        <v>68623</v>
      </c>
      <c r="I82" s="118">
        <f t="shared" si="8"/>
        <v>9373</v>
      </c>
      <c r="J82" s="118">
        <f t="shared" si="8"/>
        <v>0</v>
      </c>
      <c r="K82" s="118">
        <f t="shared" si="8"/>
        <v>77996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v>104177</v>
      </c>
      <c r="I86" s="133">
        <v>73653</v>
      </c>
      <c r="J86" s="118"/>
      <c r="K86" s="118">
        <f t="shared" ref="K86:K96" si="9">(H86+I86)-J86</f>
        <v>177830</v>
      </c>
    </row>
    <row r="87" spans="1:11" ht="18" customHeight="1" x14ac:dyDescent="0.2">
      <c r="A87" s="435" t="s">
        <v>114</v>
      </c>
      <c r="B87" s="419" t="s">
        <v>14</v>
      </c>
      <c r="F87" s="221"/>
      <c r="G87" s="221"/>
      <c r="H87" s="118">
        <v>2034275</v>
      </c>
      <c r="I87" s="133">
        <v>0</v>
      </c>
      <c r="J87" s="118"/>
      <c r="K87" s="118">
        <f t="shared" si="9"/>
        <v>2034275</v>
      </c>
    </row>
    <row r="88" spans="1:11" ht="18" customHeight="1" x14ac:dyDescent="0.2">
      <c r="A88" s="435" t="s">
        <v>115</v>
      </c>
      <c r="B88" s="419" t="s">
        <v>116</v>
      </c>
      <c r="F88" s="221">
        <v>4.5</v>
      </c>
      <c r="G88" s="221">
        <v>2</v>
      </c>
      <c r="H88" s="118">
        <v>158</v>
      </c>
      <c r="I88" s="133">
        <v>0</v>
      </c>
      <c r="J88" s="118"/>
      <c r="K88" s="118">
        <f t="shared" si="9"/>
        <v>158</v>
      </c>
    </row>
    <row r="89" spans="1:11" ht="18" customHeight="1" x14ac:dyDescent="0.2">
      <c r="A89" s="435" t="s">
        <v>117</v>
      </c>
      <c r="B89" s="419" t="s">
        <v>58</v>
      </c>
      <c r="F89" s="221"/>
      <c r="G89" s="221"/>
      <c r="H89" s="118"/>
      <c r="I89" s="133">
        <f t="shared" ref="I89:I96" si="10">H89*F$114</f>
        <v>0</v>
      </c>
      <c r="J89" s="118"/>
      <c r="K89" s="118">
        <f t="shared" si="9"/>
        <v>0</v>
      </c>
    </row>
    <row r="90" spans="1:11" ht="18" customHeight="1" x14ac:dyDescent="0.2">
      <c r="A90" s="435" t="s">
        <v>118</v>
      </c>
      <c r="B90" s="465" t="s">
        <v>59</v>
      </c>
      <c r="C90" s="466"/>
      <c r="F90" s="221">
        <v>15</v>
      </c>
      <c r="G90" s="221">
        <v>12</v>
      </c>
      <c r="H90" s="118">
        <v>1161</v>
      </c>
      <c r="I90" s="133">
        <v>0</v>
      </c>
      <c r="J90" s="118"/>
      <c r="K90" s="118">
        <f t="shared" si="9"/>
        <v>1161</v>
      </c>
    </row>
    <row r="91" spans="1:11" ht="18" customHeight="1" x14ac:dyDescent="0.2">
      <c r="A91" s="435" t="s">
        <v>119</v>
      </c>
      <c r="B91" s="419" t="s">
        <v>60</v>
      </c>
      <c r="F91" s="221">
        <v>60</v>
      </c>
      <c r="G91" s="221">
        <v>1507</v>
      </c>
      <c r="H91" s="118">
        <v>4214</v>
      </c>
      <c r="I91" s="133">
        <v>2981</v>
      </c>
      <c r="J91" s="118"/>
      <c r="K91" s="118">
        <f t="shared" si="9"/>
        <v>7195</v>
      </c>
    </row>
    <row r="92" spans="1:11" ht="18" customHeight="1" x14ac:dyDescent="0.2">
      <c r="A92" s="435" t="s">
        <v>120</v>
      </c>
      <c r="B92" s="419" t="s">
        <v>121</v>
      </c>
      <c r="F92" s="257">
        <v>37.5</v>
      </c>
      <c r="G92" s="257">
        <v>507</v>
      </c>
      <c r="H92" s="429">
        <v>30506</v>
      </c>
      <c r="I92" s="133">
        <v>564</v>
      </c>
      <c r="J92" s="429"/>
      <c r="K92" s="118">
        <f t="shared" si="9"/>
        <v>31070</v>
      </c>
    </row>
    <row r="93" spans="1:11" ht="18" customHeight="1" x14ac:dyDescent="0.2">
      <c r="A93" s="435" t="s">
        <v>122</v>
      </c>
      <c r="B93" s="419" t="s">
        <v>123</v>
      </c>
      <c r="F93" s="221">
        <v>28305.5</v>
      </c>
      <c r="G93" s="221">
        <v>1252</v>
      </c>
      <c r="H93" s="118">
        <v>274792</v>
      </c>
      <c r="I93" s="133">
        <v>192775</v>
      </c>
      <c r="J93" s="118"/>
      <c r="K93" s="118">
        <f t="shared" si="9"/>
        <v>467567</v>
      </c>
    </row>
    <row r="94" spans="1:11" ht="18" customHeight="1" x14ac:dyDescent="0.2">
      <c r="A94" s="435" t="s">
        <v>124</v>
      </c>
      <c r="B94" s="418"/>
      <c r="C94" s="417"/>
      <c r="D94" s="412"/>
      <c r="F94" s="221"/>
      <c r="G94" s="221"/>
      <c r="H94" s="118"/>
      <c r="I94" s="133">
        <f t="shared" si="10"/>
        <v>0</v>
      </c>
      <c r="J94" s="118"/>
      <c r="K94" s="118">
        <f t="shared" si="9"/>
        <v>0</v>
      </c>
    </row>
    <row r="95" spans="1:11" ht="18" customHeight="1" x14ac:dyDescent="0.2">
      <c r="A95" s="435" t="s">
        <v>125</v>
      </c>
      <c r="B95" s="418"/>
      <c r="C95" s="417"/>
      <c r="D95" s="412"/>
      <c r="F95" s="221"/>
      <c r="G95" s="221"/>
      <c r="H95" s="118"/>
      <c r="I95" s="133">
        <f t="shared" si="10"/>
        <v>0</v>
      </c>
      <c r="J95" s="118"/>
      <c r="K95" s="118">
        <f t="shared" si="9"/>
        <v>0</v>
      </c>
    </row>
    <row r="96" spans="1:11" ht="18" customHeight="1" x14ac:dyDescent="0.2">
      <c r="A96" s="435" t="s">
        <v>126</v>
      </c>
      <c r="B96" s="418"/>
      <c r="C96" s="417"/>
      <c r="D96" s="412"/>
      <c r="F96" s="221"/>
      <c r="G96" s="221"/>
      <c r="H96" s="118"/>
      <c r="I96" s="133">
        <f t="shared" si="10"/>
        <v>0</v>
      </c>
      <c r="J96" s="118"/>
      <c r="K96" s="118">
        <f t="shared" si="9"/>
        <v>0</v>
      </c>
    </row>
    <row r="97" spans="1:11" ht="18" customHeight="1" x14ac:dyDescent="0.2">
      <c r="A97" s="435"/>
      <c r="B97" s="419"/>
    </row>
    <row r="98" spans="1:11" ht="18" customHeight="1" x14ac:dyDescent="0.2">
      <c r="A98" s="455" t="s">
        <v>150</v>
      </c>
      <c r="B98" s="421" t="s">
        <v>151</v>
      </c>
      <c r="E98" s="421" t="s">
        <v>7</v>
      </c>
      <c r="F98" s="221">
        <f t="shared" ref="F98:K98" si="11">SUM(F86:F96)</f>
        <v>28422.5</v>
      </c>
      <c r="G98" s="221">
        <f t="shared" si="11"/>
        <v>3280</v>
      </c>
      <c r="H98" s="221">
        <f t="shared" si="11"/>
        <v>2449283</v>
      </c>
      <c r="I98" s="221">
        <f t="shared" si="11"/>
        <v>269973</v>
      </c>
      <c r="J98" s="221">
        <f t="shared" si="11"/>
        <v>0</v>
      </c>
      <c r="K98" s="221">
        <f t="shared" si="11"/>
        <v>2719256</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5000</v>
      </c>
      <c r="G102" s="221"/>
      <c r="H102" s="118">
        <v>366637</v>
      </c>
      <c r="I102" s="133">
        <v>259213</v>
      </c>
      <c r="J102" s="118"/>
      <c r="K102" s="118">
        <f>(H102+I102)-J102</f>
        <v>625850</v>
      </c>
    </row>
    <row r="103" spans="1:11" ht="18" customHeight="1" x14ac:dyDescent="0.2">
      <c r="A103" s="435" t="s">
        <v>132</v>
      </c>
      <c r="B103" s="465" t="s">
        <v>62</v>
      </c>
      <c r="C103" s="465"/>
      <c r="F103" s="221"/>
      <c r="G103" s="221"/>
      <c r="H103" s="118">
        <v>25471</v>
      </c>
      <c r="I103" s="133"/>
      <c r="J103" s="118"/>
      <c r="K103" s="118">
        <f>(H103+I103)-J103</f>
        <v>25471</v>
      </c>
    </row>
    <row r="104" spans="1:11" ht="18" customHeight="1" x14ac:dyDescent="0.2">
      <c r="A104" s="435" t="s">
        <v>128</v>
      </c>
      <c r="B104" s="418" t="s">
        <v>697</v>
      </c>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5000</v>
      </c>
      <c r="G108" s="221">
        <f t="shared" si="12"/>
        <v>0</v>
      </c>
      <c r="H108" s="118">
        <f t="shared" si="12"/>
        <v>392108</v>
      </c>
      <c r="I108" s="118">
        <f t="shared" si="12"/>
        <v>259213</v>
      </c>
      <c r="J108" s="118">
        <f t="shared" si="12"/>
        <v>0</v>
      </c>
      <c r="K108" s="118">
        <f t="shared" si="12"/>
        <v>651321</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3983754</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0.70660000000000001</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03">
        <v>176837894.484</v>
      </c>
    </row>
    <row r="118" spans="1:6" ht="18" customHeight="1" x14ac:dyDescent="0.2">
      <c r="A118" s="435" t="s">
        <v>173</v>
      </c>
      <c r="B118" s="259" t="s">
        <v>18</v>
      </c>
      <c r="F118" s="103">
        <v>2328879.25</v>
      </c>
    </row>
    <row r="119" spans="1:6" ht="18" customHeight="1" x14ac:dyDescent="0.2">
      <c r="A119" s="435" t="s">
        <v>174</v>
      </c>
      <c r="B119" s="421" t="s">
        <v>19</v>
      </c>
      <c r="F119" s="103">
        <f>SUM(F117:F118)</f>
        <v>179166773.734</v>
      </c>
    </row>
    <row r="120" spans="1:6" ht="18" customHeight="1" x14ac:dyDescent="0.2">
      <c r="A120" s="435"/>
      <c r="B120" s="421"/>
    </row>
    <row r="121" spans="1:6" ht="18" customHeight="1" x14ac:dyDescent="0.2">
      <c r="A121" s="435" t="s">
        <v>167</v>
      </c>
      <c r="B121" s="421" t="s">
        <v>36</v>
      </c>
      <c r="F121" s="118">
        <v>162218677</v>
      </c>
    </row>
    <row r="122" spans="1:6" ht="18" customHeight="1" x14ac:dyDescent="0.2">
      <c r="A122" s="435"/>
    </row>
    <row r="123" spans="1:6" ht="18" customHeight="1" x14ac:dyDescent="0.2">
      <c r="A123" s="435" t="s">
        <v>175</v>
      </c>
      <c r="B123" s="421" t="s">
        <v>20</v>
      </c>
      <c r="F123" s="103">
        <f>F119-F121</f>
        <v>16948096.733999997</v>
      </c>
    </row>
    <row r="124" spans="1:6" ht="18" customHeight="1" x14ac:dyDescent="0.2">
      <c r="A124" s="435"/>
    </row>
    <row r="125" spans="1:6" ht="18" customHeight="1" x14ac:dyDescent="0.2">
      <c r="A125" s="435" t="s">
        <v>176</v>
      </c>
      <c r="B125" s="421" t="s">
        <v>21</v>
      </c>
      <c r="F125" s="118">
        <v>246817</v>
      </c>
    </row>
    <row r="126" spans="1:6" ht="18" customHeight="1" x14ac:dyDescent="0.2">
      <c r="A126" s="435"/>
    </row>
    <row r="127" spans="1:6" ht="18" customHeight="1" x14ac:dyDescent="0.2">
      <c r="A127" s="435" t="s">
        <v>177</v>
      </c>
      <c r="B127" s="421" t="s">
        <v>22</v>
      </c>
      <c r="F127" s="103">
        <f>+F123+F125</f>
        <v>17194913.733999997</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17871</v>
      </c>
      <c r="G141" s="422">
        <f t="shared" si="14"/>
        <v>31010</v>
      </c>
      <c r="H141" s="422">
        <f t="shared" si="14"/>
        <v>758785</v>
      </c>
      <c r="I141" s="422">
        <f t="shared" si="14"/>
        <v>386505</v>
      </c>
      <c r="J141" s="422">
        <f t="shared" si="14"/>
        <v>43561</v>
      </c>
      <c r="K141" s="422">
        <f t="shared" si="14"/>
        <v>1101729</v>
      </c>
    </row>
    <row r="142" spans="1:11" ht="18" customHeight="1" x14ac:dyDescent="0.2">
      <c r="A142" s="435" t="s">
        <v>142</v>
      </c>
      <c r="B142" s="421" t="s">
        <v>65</v>
      </c>
      <c r="F142" s="422">
        <f t="shared" ref="F142:K142" si="15">F49</f>
        <v>562.5</v>
      </c>
      <c r="G142" s="422">
        <f t="shared" si="15"/>
        <v>119</v>
      </c>
      <c r="H142" s="422">
        <f t="shared" si="15"/>
        <v>187828</v>
      </c>
      <c r="I142" s="422">
        <f t="shared" si="15"/>
        <v>18168</v>
      </c>
      <c r="J142" s="422">
        <f t="shared" si="15"/>
        <v>0</v>
      </c>
      <c r="K142" s="422">
        <f t="shared" si="15"/>
        <v>205996</v>
      </c>
    </row>
    <row r="143" spans="1:11" ht="18" customHeight="1" x14ac:dyDescent="0.2">
      <c r="A143" s="435" t="s">
        <v>144</v>
      </c>
      <c r="B143" s="421" t="s">
        <v>66</v>
      </c>
      <c r="F143" s="422">
        <f t="shared" ref="F143:K143" si="16">F64</f>
        <v>0</v>
      </c>
      <c r="G143" s="422">
        <f t="shared" si="16"/>
        <v>0</v>
      </c>
      <c r="H143" s="422">
        <f t="shared" si="16"/>
        <v>11916861</v>
      </c>
      <c r="I143" s="422">
        <f t="shared" si="16"/>
        <v>0</v>
      </c>
      <c r="J143" s="422">
        <f t="shared" si="16"/>
        <v>3756832</v>
      </c>
      <c r="K143" s="422">
        <f t="shared" si="16"/>
        <v>8160029</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166</v>
      </c>
      <c r="G145" s="422">
        <f t="shared" si="18"/>
        <v>1201</v>
      </c>
      <c r="H145" s="422">
        <f t="shared" si="18"/>
        <v>68623</v>
      </c>
      <c r="I145" s="422">
        <f t="shared" si="18"/>
        <v>9373</v>
      </c>
      <c r="J145" s="422">
        <f t="shared" si="18"/>
        <v>0</v>
      </c>
      <c r="K145" s="422">
        <f t="shared" si="18"/>
        <v>77996</v>
      </c>
    </row>
    <row r="146" spans="1:11" ht="18" customHeight="1" x14ac:dyDescent="0.2">
      <c r="A146" s="435" t="s">
        <v>150</v>
      </c>
      <c r="B146" s="421" t="s">
        <v>69</v>
      </c>
      <c r="F146" s="422">
        <f t="shared" ref="F146:K146" si="19">F98</f>
        <v>28422.5</v>
      </c>
      <c r="G146" s="422">
        <f t="shared" si="19"/>
        <v>3280</v>
      </c>
      <c r="H146" s="422">
        <f t="shared" si="19"/>
        <v>2449283</v>
      </c>
      <c r="I146" s="422">
        <f t="shared" si="19"/>
        <v>269973</v>
      </c>
      <c r="J146" s="422">
        <f t="shared" si="19"/>
        <v>0</v>
      </c>
      <c r="K146" s="422">
        <f t="shared" si="19"/>
        <v>2719256</v>
      </c>
    </row>
    <row r="147" spans="1:11" ht="18" customHeight="1" x14ac:dyDescent="0.2">
      <c r="A147" s="435" t="s">
        <v>153</v>
      </c>
      <c r="B147" s="421" t="s">
        <v>61</v>
      </c>
      <c r="F147" s="221">
        <f t="shared" ref="F147:K147" si="20">F108</f>
        <v>5000</v>
      </c>
      <c r="G147" s="221">
        <f t="shared" si="20"/>
        <v>0</v>
      </c>
      <c r="H147" s="221">
        <f t="shared" si="20"/>
        <v>392108</v>
      </c>
      <c r="I147" s="221">
        <f t="shared" si="20"/>
        <v>259213</v>
      </c>
      <c r="J147" s="221">
        <f t="shared" si="20"/>
        <v>0</v>
      </c>
      <c r="K147" s="221">
        <f t="shared" si="20"/>
        <v>651321</v>
      </c>
    </row>
    <row r="148" spans="1:11" ht="18" customHeight="1" x14ac:dyDescent="0.2">
      <c r="A148" s="435" t="s">
        <v>155</v>
      </c>
      <c r="B148" s="421" t="s">
        <v>70</v>
      </c>
      <c r="F148" s="485" t="s">
        <v>73</v>
      </c>
      <c r="G148" s="485" t="s">
        <v>73</v>
      </c>
      <c r="H148" s="486" t="s">
        <v>73</v>
      </c>
      <c r="I148" s="486" t="s">
        <v>73</v>
      </c>
      <c r="J148" s="486" t="s">
        <v>73</v>
      </c>
      <c r="K148" s="423">
        <f>F111</f>
        <v>3983754</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3825609.2200778616</v>
      </c>
      <c r="I150" s="221">
        <f>I18</f>
        <v>0</v>
      </c>
      <c r="J150" s="221">
        <f>J18</f>
        <v>3233394.6993009197</v>
      </c>
      <c r="K150" s="221">
        <f>K18</f>
        <v>592214.52077694191</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52022</v>
      </c>
      <c r="G152" s="487">
        <f t="shared" si="22"/>
        <v>35610</v>
      </c>
      <c r="H152" s="487">
        <f t="shared" si="22"/>
        <v>19599097.220077861</v>
      </c>
      <c r="I152" s="487">
        <f t="shared" si="22"/>
        <v>943232</v>
      </c>
      <c r="J152" s="487">
        <f t="shared" si="22"/>
        <v>7033787.6993009197</v>
      </c>
      <c r="K152" s="487">
        <f t="shared" si="22"/>
        <v>17492295.520776942</v>
      </c>
    </row>
    <row r="153" spans="1:11" ht="18" customHeight="1" x14ac:dyDescent="0.2">
      <c r="H153" s="499"/>
    </row>
    <row r="154" spans="1:11" ht="18" customHeight="1" x14ac:dyDescent="0.2">
      <c r="A154" s="455" t="s">
        <v>168</v>
      </c>
      <c r="B154" s="421" t="s">
        <v>28</v>
      </c>
      <c r="F154" s="140">
        <f>K152/F121</f>
        <v>0.1078315755267622</v>
      </c>
    </row>
    <row r="155" spans="1:11" ht="18" customHeight="1" x14ac:dyDescent="0.2">
      <c r="A155" s="455" t="s">
        <v>169</v>
      </c>
      <c r="B155" s="421" t="s">
        <v>72</v>
      </c>
      <c r="F155" s="140">
        <f>K152/F127</f>
        <v>1.0172947530518239</v>
      </c>
      <c r="G155" s="421"/>
    </row>
    <row r="156" spans="1:11" ht="18" customHeight="1" x14ac:dyDescent="0.2">
      <c r="G156" s="421"/>
    </row>
  </sheetData>
  <sheetProtection algorithmName="SHA-512" hashValue="i+u/Bfa+TZy2cMp6W9c1XI8b82rTUjSzC2OU+f5URhE0+q6bxR7Rbu1Jy8a6JVv+UQ4lND3xUIShAEjmvfe8Iw==" saltValue="0bjZmgBrDu7usY1Dw4BVFA=="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hyperlinks>
    <hyperlink ref="C11" r:id="rId1"/>
  </hyperlinks>
  <pageMargins left="0.7" right="0.7" top="0.75" bottom="0.75" header="0.3" footer="0.3"/>
  <pageSetup scale="40" orientation="landscape" r:id="rId2"/>
  <headerFooter>
    <oddFooter>&amp;L&amp;Z&amp;F&amp;A&amp;R&amp;P of &amp;N</oddFooter>
  </headerFooter>
  <rowBreaks count="2" manualBreakCount="2">
    <brk id="65" max="16383" man="1"/>
    <brk id="1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pageSetUpPr fitToPage="1"/>
  </sheetPr>
  <dimension ref="A1:S130"/>
  <sheetViews>
    <sheetView topLeftCell="A7" zoomScale="80" zoomScaleNormal="80" zoomScaleSheetLayoutView="70" workbookViewId="0">
      <selection activeCell="U29" sqref="U29"/>
    </sheetView>
  </sheetViews>
  <sheetFormatPr defaultColWidth="9.28515625" defaultRowHeight="15" x14ac:dyDescent="0.25"/>
  <cols>
    <col min="1" max="1" width="23" style="155" customWidth="1"/>
    <col min="2" max="2" width="19.140625" style="155" bestFit="1" customWidth="1"/>
    <col min="3" max="3" width="18.5703125" style="155" customWidth="1"/>
    <col min="4" max="4" width="17.5703125" style="155" customWidth="1"/>
    <col min="5" max="5" width="22.28515625" style="155" customWidth="1"/>
    <col min="6" max="17" width="9.28515625" style="155"/>
    <col min="18" max="18" width="27" style="155" customWidth="1"/>
    <col min="19" max="16384" width="9.28515625" style="155"/>
  </cols>
  <sheetData>
    <row r="1" spans="1:19" x14ac:dyDescent="0.25">
      <c r="A1" s="191" t="s">
        <v>436</v>
      </c>
      <c r="B1" s="5"/>
      <c r="C1" s="5"/>
      <c r="D1" s="5"/>
      <c r="E1" s="5"/>
      <c r="F1" s="5"/>
      <c r="G1" s="5"/>
      <c r="H1" s="5"/>
      <c r="I1" s="5"/>
      <c r="J1" s="5"/>
      <c r="K1" s="5"/>
      <c r="L1" s="5"/>
      <c r="M1" s="5"/>
      <c r="N1" s="5"/>
      <c r="O1" s="5"/>
    </row>
    <row r="2" spans="1:19" ht="45" x14ac:dyDescent="0.25">
      <c r="A2" s="192" t="s">
        <v>220</v>
      </c>
      <c r="B2" s="192" t="s">
        <v>205</v>
      </c>
      <c r="C2" s="192" t="s">
        <v>207</v>
      </c>
      <c r="D2" s="5"/>
      <c r="E2" s="5"/>
      <c r="F2" s="5"/>
      <c r="G2" s="5"/>
      <c r="H2" s="5"/>
      <c r="I2" s="5"/>
      <c r="J2" s="5"/>
      <c r="K2" s="5"/>
      <c r="L2" s="5"/>
      <c r="M2" s="5"/>
      <c r="N2" s="5"/>
      <c r="O2" s="5"/>
    </row>
    <row r="3" spans="1:19" ht="41.25" customHeight="1" x14ac:dyDescent="0.25">
      <c r="A3" s="193" t="s">
        <v>609</v>
      </c>
      <c r="B3" s="194">
        <f>'CB Table 1'!E12</f>
        <v>0.17772709473410028</v>
      </c>
      <c r="C3" s="194">
        <f>'CB Table 1'!G12</f>
        <v>8.4691250787272115E-3</v>
      </c>
      <c r="D3" s="5"/>
      <c r="E3" s="5"/>
      <c r="F3" s="5"/>
      <c r="G3" s="5"/>
      <c r="H3" s="5"/>
      <c r="I3" s="5"/>
      <c r="J3" s="5"/>
      <c r="K3" s="5"/>
      <c r="L3" s="5"/>
      <c r="M3" s="5"/>
      <c r="N3" s="5"/>
      <c r="O3" s="5"/>
      <c r="Q3" s="158"/>
      <c r="R3" s="159"/>
      <c r="S3" s="157"/>
    </row>
    <row r="4" spans="1:19" ht="25.5" x14ac:dyDescent="0.25">
      <c r="A4" s="193" t="s">
        <v>210</v>
      </c>
      <c r="B4" s="194">
        <f>'CB Table 1'!$E$6</f>
        <v>0.35177181795417811</v>
      </c>
      <c r="C4" s="194">
        <f>'CB Table 1'!$G$6</f>
        <v>0.56625797194519834</v>
      </c>
      <c r="D4" s="5"/>
      <c r="E4" s="5"/>
      <c r="F4" s="5"/>
      <c r="G4" s="5"/>
      <c r="H4" s="5"/>
      <c r="I4" s="5"/>
      <c r="J4" s="5"/>
      <c r="K4" s="5"/>
      <c r="L4" s="5"/>
      <c r="M4" s="5"/>
      <c r="N4" s="5"/>
      <c r="O4" s="5"/>
      <c r="Q4" s="158"/>
      <c r="R4" s="159"/>
      <c r="S4" s="157"/>
    </row>
    <row r="5" spans="1:19" ht="25.5" x14ac:dyDescent="0.25">
      <c r="A5" s="193" t="s">
        <v>209</v>
      </c>
      <c r="B5" s="194">
        <f>'CB Table 1'!$E$5</f>
        <v>0.32086238510356985</v>
      </c>
      <c r="C5" s="194">
        <f>'CB Table 1'!$G$5</f>
        <v>0.18439485728812524</v>
      </c>
      <c r="D5" s="5"/>
      <c r="E5" s="5"/>
      <c r="F5" s="5"/>
      <c r="G5" s="5"/>
      <c r="H5" s="5"/>
      <c r="I5" s="5"/>
      <c r="J5" s="5"/>
      <c r="K5" s="5"/>
      <c r="L5" s="5"/>
      <c r="M5" s="5"/>
      <c r="N5" s="5"/>
      <c r="O5" s="5"/>
      <c r="Q5" s="158"/>
      <c r="R5" s="159"/>
      <c r="S5" s="157"/>
    </row>
    <row r="6" spans="1:19" ht="27" customHeight="1" x14ac:dyDescent="0.25">
      <c r="A6" s="193" t="s">
        <v>64</v>
      </c>
      <c r="B6" s="194">
        <f>'CB Table 1'!E4</f>
        <v>7.2877132822577809E-2</v>
      </c>
      <c r="C6" s="194">
        <f>'CB Table 1'!G4</f>
        <v>0.11731257402396357</v>
      </c>
      <c r="D6" s="5"/>
      <c r="E6" s="5"/>
      <c r="F6" s="5"/>
      <c r="G6" s="5"/>
      <c r="H6" s="5"/>
      <c r="I6" s="5"/>
      <c r="J6" s="5"/>
      <c r="K6" s="5"/>
      <c r="L6" s="5"/>
      <c r="M6" s="5"/>
      <c r="N6" s="5"/>
      <c r="O6" s="5"/>
      <c r="Q6" s="158"/>
      <c r="R6" s="159"/>
      <c r="S6" s="157"/>
    </row>
    <row r="7" spans="1:19" ht="25.5" x14ac:dyDescent="0.25">
      <c r="A7" s="193" t="s">
        <v>208</v>
      </c>
      <c r="B7" s="194">
        <f>'CB Table 1'!E3</f>
        <v>3.2301251319739849E-2</v>
      </c>
      <c r="C7" s="194">
        <f>'CB Table 1'!G3</f>
        <v>5.199632298568789E-2</v>
      </c>
      <c r="D7" s="5"/>
      <c r="E7" s="5"/>
      <c r="F7" s="5"/>
      <c r="G7" s="5"/>
      <c r="H7" s="5"/>
      <c r="I7" s="5"/>
      <c r="J7" s="5"/>
      <c r="K7" s="5"/>
      <c r="L7" s="5"/>
      <c r="M7" s="5"/>
      <c r="N7" s="5"/>
      <c r="O7" s="5"/>
      <c r="Q7" s="158"/>
      <c r="R7" s="159"/>
      <c r="S7" s="157"/>
    </row>
    <row r="8" spans="1:19" x14ac:dyDescent="0.25">
      <c r="A8" s="193" t="s">
        <v>25</v>
      </c>
      <c r="B8" s="194">
        <f>'CB Table 1'!$E$9</f>
        <v>1.8251797075367567E-2</v>
      </c>
      <c r="C8" s="194">
        <f>'CB Table 1'!$G$9</f>
        <v>2.9380482087394532E-2</v>
      </c>
      <c r="D8" s="5"/>
      <c r="E8" s="5"/>
      <c r="F8" s="5"/>
      <c r="G8" s="5"/>
      <c r="H8" s="5"/>
      <c r="I8" s="5"/>
      <c r="J8" s="5"/>
      <c r="K8" s="404" t="s">
        <v>863</v>
      </c>
      <c r="L8" s="5"/>
      <c r="M8" s="5"/>
      <c r="N8" s="5"/>
      <c r="O8" s="5"/>
      <c r="Q8" s="158"/>
      <c r="R8" s="159"/>
      <c r="S8" s="157"/>
    </row>
    <row r="9" spans="1:19" ht="27.75" customHeight="1" x14ac:dyDescent="0.25">
      <c r="A9" s="193" t="s">
        <v>68</v>
      </c>
      <c r="B9" s="194">
        <f>'CB Table 1'!$E$8</f>
        <v>8.2015393117848903E-3</v>
      </c>
      <c r="C9" s="194">
        <f>'CB Table 1'!$G$8</f>
        <v>1.3202271417106762E-2</v>
      </c>
      <c r="D9" s="5"/>
      <c r="E9" s="5"/>
      <c r="F9" s="5"/>
      <c r="G9" s="5"/>
      <c r="H9" s="5"/>
      <c r="I9" s="5"/>
      <c r="J9" s="5"/>
      <c r="K9" s="5"/>
      <c r="L9" s="5"/>
      <c r="M9" s="5"/>
      <c r="N9" s="5"/>
      <c r="O9" s="5"/>
      <c r="Q9" s="158"/>
      <c r="R9" s="159"/>
      <c r="S9" s="157"/>
    </row>
    <row r="10" spans="1:19" ht="22.5" customHeight="1" x14ac:dyDescent="0.25">
      <c r="A10" s="193" t="s">
        <v>67</v>
      </c>
      <c r="B10" s="194">
        <f>'CB Table 1'!$E$7</f>
        <v>6.6375632334188233E-3</v>
      </c>
      <c r="C10" s="194">
        <f>'CB Table 1'!$G$7</f>
        <v>1.0684690766510888E-2</v>
      </c>
      <c r="D10" s="5"/>
      <c r="E10" s="5"/>
      <c r="F10" s="5"/>
      <c r="G10" s="5"/>
      <c r="H10" s="5"/>
      <c r="I10" s="5"/>
      <c r="J10" s="5"/>
      <c r="K10" s="5"/>
      <c r="L10" s="5"/>
      <c r="M10" s="5"/>
      <c r="N10" s="5"/>
      <c r="O10" s="5"/>
      <c r="Q10" s="158"/>
      <c r="R10" s="159"/>
      <c r="S10" s="157"/>
    </row>
    <row r="11" spans="1:19" ht="25.5" x14ac:dyDescent="0.25">
      <c r="A11" s="193" t="s">
        <v>61</v>
      </c>
      <c r="B11" s="194">
        <f>'CB Table 1'!$E$10</f>
        <v>8.3184545664735359E-3</v>
      </c>
      <c r="C11" s="194">
        <f>'CB Table 1'!$G$10</f>
        <v>1.3390473517532196E-2</v>
      </c>
      <c r="D11" s="5"/>
      <c r="E11" s="5"/>
      <c r="F11" s="5"/>
      <c r="G11" s="5"/>
      <c r="H11" s="5"/>
      <c r="I11" s="5"/>
      <c r="J11" s="5"/>
      <c r="K11" s="5"/>
      <c r="L11" s="5"/>
      <c r="M11" s="5"/>
      <c r="N11" s="5"/>
      <c r="O11" s="5"/>
      <c r="Q11" s="158"/>
      <c r="R11" s="159"/>
      <c r="S11" s="157"/>
    </row>
    <row r="12" spans="1:19" x14ac:dyDescent="0.25">
      <c r="A12" s="5"/>
      <c r="B12" s="195">
        <f>SUM(B3:B11)</f>
        <v>0.99694903612121066</v>
      </c>
      <c r="C12" s="195">
        <f>SUM(C3:C11)</f>
        <v>0.99508876911024657</v>
      </c>
      <c r="D12" s="5"/>
      <c r="E12" s="5"/>
      <c r="F12" s="5"/>
      <c r="G12" s="5"/>
      <c r="H12" s="5"/>
      <c r="I12" s="5"/>
      <c r="J12" s="5"/>
      <c r="K12" s="5"/>
      <c r="L12" s="5"/>
      <c r="M12" s="5"/>
      <c r="N12" s="5"/>
      <c r="O12" s="5"/>
    </row>
    <row r="13" spans="1:19" x14ac:dyDescent="0.25">
      <c r="A13" s="83" t="s">
        <v>433</v>
      </c>
      <c r="B13" s="5"/>
      <c r="C13" s="5"/>
      <c r="D13" s="5"/>
      <c r="E13" s="5"/>
      <c r="F13" s="5"/>
      <c r="G13" s="5"/>
      <c r="H13" s="5"/>
      <c r="I13" s="5"/>
      <c r="J13" s="5"/>
      <c r="K13" s="5"/>
      <c r="L13" s="5"/>
      <c r="M13" s="5"/>
      <c r="N13" s="5"/>
      <c r="O13" s="5"/>
    </row>
    <row r="14" spans="1:19" x14ac:dyDescent="0.25">
      <c r="A14" s="5"/>
      <c r="B14" s="5"/>
      <c r="C14" s="5"/>
      <c r="D14" s="5"/>
      <c r="E14" s="5"/>
      <c r="F14" s="5"/>
      <c r="G14" s="5"/>
      <c r="H14" s="5"/>
      <c r="I14" s="5"/>
      <c r="J14" s="5"/>
      <c r="K14" s="5"/>
      <c r="L14" s="5"/>
      <c r="M14" s="5"/>
      <c r="N14" s="5"/>
      <c r="O14" s="5"/>
    </row>
    <row r="15" spans="1:19" x14ac:dyDescent="0.25">
      <c r="A15" s="5"/>
      <c r="B15" s="5"/>
      <c r="C15" s="5"/>
      <c r="D15" s="5"/>
      <c r="E15" s="5"/>
      <c r="F15" s="5"/>
      <c r="G15" s="5"/>
      <c r="H15" s="5"/>
      <c r="I15" s="5"/>
      <c r="J15" s="5"/>
      <c r="K15" s="5"/>
      <c r="L15" s="5"/>
      <c r="M15" s="5"/>
      <c r="N15" s="5"/>
      <c r="O15" s="5"/>
    </row>
    <row r="16" spans="1:19" x14ac:dyDescent="0.25">
      <c r="A16" s="5"/>
      <c r="B16" s="5"/>
      <c r="C16" s="5"/>
      <c r="D16" s="5"/>
      <c r="E16" s="5"/>
      <c r="F16" s="5"/>
      <c r="G16" s="5"/>
      <c r="H16" s="5"/>
      <c r="I16" s="5"/>
      <c r="J16" s="5"/>
      <c r="K16" s="5"/>
      <c r="L16" s="5"/>
      <c r="M16" s="5"/>
      <c r="N16" s="5"/>
      <c r="O16" s="5"/>
    </row>
    <row r="17" spans="1:15" x14ac:dyDescent="0.25">
      <c r="A17" s="5"/>
      <c r="B17" s="5"/>
      <c r="C17" s="5"/>
      <c r="D17" s="5"/>
      <c r="E17" s="5"/>
      <c r="F17" s="5"/>
      <c r="G17" s="5"/>
      <c r="H17" s="5"/>
      <c r="I17" s="5"/>
      <c r="J17" s="5"/>
      <c r="K17" s="5"/>
      <c r="L17" s="5"/>
      <c r="M17" s="5"/>
      <c r="N17" s="5"/>
      <c r="O17" s="5"/>
    </row>
    <row r="18" spans="1:15" x14ac:dyDescent="0.25">
      <c r="A18" s="5"/>
      <c r="B18" s="5"/>
      <c r="C18" s="5"/>
      <c r="D18" s="5"/>
      <c r="E18" s="5"/>
      <c r="F18" s="5"/>
      <c r="G18" s="5"/>
      <c r="H18" s="5"/>
      <c r="I18" s="5"/>
      <c r="J18" s="5"/>
      <c r="K18" s="5"/>
      <c r="L18" s="5"/>
      <c r="M18" s="5"/>
      <c r="N18" s="5"/>
      <c r="O18" s="5"/>
    </row>
    <row r="19" spans="1:15" ht="18.75" x14ac:dyDescent="0.3">
      <c r="A19" s="196" t="s">
        <v>858</v>
      </c>
      <c r="B19" s="5"/>
      <c r="C19" s="5"/>
      <c r="D19" s="5"/>
      <c r="E19" s="5"/>
      <c r="F19" s="5"/>
      <c r="G19" s="5"/>
      <c r="H19" s="5"/>
      <c r="I19" s="5"/>
      <c r="J19" s="5"/>
      <c r="K19" s="5"/>
      <c r="L19" s="5"/>
      <c r="M19" s="5"/>
      <c r="N19" s="5"/>
      <c r="O19" s="5"/>
    </row>
    <row r="20" spans="1:15" x14ac:dyDescent="0.25">
      <c r="A20" s="5"/>
      <c r="B20" s="5"/>
      <c r="C20" s="5"/>
      <c r="D20" s="5"/>
      <c r="E20" s="5"/>
      <c r="F20" s="5"/>
      <c r="G20" s="5"/>
      <c r="H20" s="5"/>
      <c r="I20" s="5"/>
      <c r="J20" s="5"/>
      <c r="K20" s="5"/>
      <c r="L20" s="5"/>
      <c r="M20" s="5"/>
      <c r="N20" s="5"/>
      <c r="O20" s="5"/>
    </row>
    <row r="21" spans="1:15" x14ac:dyDescent="0.25">
      <c r="A21" s="197" t="s">
        <v>213</v>
      </c>
      <c r="B21" s="197" t="s">
        <v>70</v>
      </c>
      <c r="C21" s="197" t="s">
        <v>200</v>
      </c>
      <c r="D21" s="197" t="s">
        <v>219</v>
      </c>
      <c r="E21" s="198" t="s">
        <v>431</v>
      </c>
      <c r="F21" s="5"/>
      <c r="G21" s="5"/>
      <c r="H21" s="5"/>
      <c r="I21" s="5"/>
      <c r="J21" s="5"/>
      <c r="K21" s="5"/>
      <c r="L21" s="5"/>
      <c r="M21" s="5"/>
      <c r="N21" s="5"/>
      <c r="O21" s="5"/>
    </row>
    <row r="22" spans="1:15" x14ac:dyDescent="0.25">
      <c r="A22" s="5">
        <v>2009</v>
      </c>
      <c r="B22" s="199">
        <f t="shared" ref="B22:D31" si="0">+B32/1000000</f>
        <v>269.06009499999999</v>
      </c>
      <c r="C22" s="199">
        <f t="shared" si="0"/>
        <v>213.57390000000001</v>
      </c>
      <c r="D22" s="199">
        <f t="shared" si="0"/>
        <v>10.641292999999999</v>
      </c>
      <c r="E22" s="199">
        <f t="shared" ref="E22:E37" si="1">SUM(B22:D22)</f>
        <v>493.27528800000005</v>
      </c>
      <c r="F22" s="5"/>
      <c r="G22" s="5"/>
      <c r="H22" s="5"/>
      <c r="I22" s="5"/>
      <c r="J22" s="5"/>
      <c r="K22" s="5"/>
      <c r="L22" s="5"/>
      <c r="M22" s="5"/>
      <c r="N22" s="5"/>
      <c r="O22" s="5"/>
    </row>
    <row r="23" spans="1:15" x14ac:dyDescent="0.25">
      <c r="A23" s="5">
        <v>2010</v>
      </c>
      <c r="B23" s="199">
        <f t="shared" si="0"/>
        <v>312.049419</v>
      </c>
      <c r="C23" s="199">
        <f t="shared" si="0"/>
        <v>211.86369999999999</v>
      </c>
      <c r="D23" s="199">
        <f t="shared" si="0"/>
        <v>11.676030000000001</v>
      </c>
      <c r="E23" s="199">
        <f t="shared" si="1"/>
        <v>535.58914900000002</v>
      </c>
      <c r="F23" s="5"/>
      <c r="G23" s="5"/>
      <c r="H23" s="5"/>
      <c r="I23" s="5"/>
      <c r="J23" s="5"/>
      <c r="K23" s="5"/>
      <c r="L23" s="5"/>
      <c r="M23" s="5"/>
      <c r="N23" s="5"/>
      <c r="O23" s="5"/>
    </row>
    <row r="24" spans="1:15" x14ac:dyDescent="0.25">
      <c r="A24" s="5">
        <v>2011</v>
      </c>
      <c r="B24" s="199">
        <f t="shared" si="0"/>
        <v>374.89863100000002</v>
      </c>
      <c r="C24" s="199">
        <f t="shared" si="0"/>
        <v>235.386426</v>
      </c>
      <c r="D24" s="199">
        <f t="shared" si="0"/>
        <v>12.317156000000001</v>
      </c>
      <c r="E24" s="199">
        <f t="shared" si="1"/>
        <v>622.60221300000001</v>
      </c>
      <c r="F24" s="5"/>
      <c r="G24" s="5"/>
      <c r="H24" s="5"/>
      <c r="I24" s="5"/>
      <c r="J24" s="5"/>
      <c r="K24" s="5"/>
      <c r="L24" s="5"/>
      <c r="M24" s="5"/>
      <c r="N24" s="5"/>
      <c r="O24" s="5"/>
    </row>
    <row r="25" spans="1:15" x14ac:dyDescent="0.25">
      <c r="A25" s="5">
        <v>2012</v>
      </c>
      <c r="B25" s="199">
        <f t="shared" si="0"/>
        <v>442.00888400000002</v>
      </c>
      <c r="C25" s="199">
        <f t="shared" si="0"/>
        <v>272.34654399999999</v>
      </c>
      <c r="D25" s="199">
        <f t="shared" si="0"/>
        <v>12.259686</v>
      </c>
      <c r="E25" s="199">
        <f t="shared" si="1"/>
        <v>726.61511400000006</v>
      </c>
      <c r="F25" s="5"/>
      <c r="G25" s="5"/>
      <c r="H25" s="5"/>
      <c r="I25" s="5"/>
      <c r="J25" s="5"/>
      <c r="K25" s="5"/>
      <c r="L25" s="5"/>
      <c r="M25" s="5"/>
      <c r="N25" s="5"/>
      <c r="O25" s="5"/>
    </row>
    <row r="26" spans="1:15" x14ac:dyDescent="0.25">
      <c r="A26" s="5">
        <v>2013</v>
      </c>
      <c r="B26" s="199">
        <f t="shared" si="0"/>
        <v>462.590418</v>
      </c>
      <c r="C26" s="199">
        <f t="shared" si="0"/>
        <v>316.213911</v>
      </c>
      <c r="D26" s="199">
        <f t="shared" si="0"/>
        <v>13.303674000000001</v>
      </c>
      <c r="E26" s="199">
        <f t="shared" si="1"/>
        <v>792.10800300000005</v>
      </c>
      <c r="F26" s="5"/>
      <c r="G26" s="5"/>
      <c r="H26" s="5"/>
      <c r="I26" s="5"/>
      <c r="J26" s="5"/>
      <c r="K26" s="5"/>
      <c r="L26" s="5"/>
      <c r="M26" s="5"/>
      <c r="N26" s="5"/>
      <c r="O26" s="5"/>
    </row>
    <row r="27" spans="1:15" x14ac:dyDescent="0.25">
      <c r="A27" s="5">
        <v>2014</v>
      </c>
      <c r="B27" s="199">
        <f t="shared" si="0"/>
        <v>463.908838</v>
      </c>
      <c r="C27" s="199">
        <f t="shared" si="0"/>
        <v>294.40706</v>
      </c>
      <c r="D27" s="199">
        <f t="shared" si="0"/>
        <v>15.140921000000001</v>
      </c>
      <c r="E27" s="199">
        <f t="shared" si="1"/>
        <v>773.45681900000011</v>
      </c>
      <c r="F27" s="5"/>
      <c r="G27" s="5"/>
      <c r="H27" s="5"/>
      <c r="I27" s="5"/>
      <c r="J27" s="5"/>
      <c r="K27" s="5"/>
      <c r="L27" s="5"/>
      <c r="M27" s="5"/>
      <c r="N27" s="5"/>
      <c r="O27" s="5"/>
    </row>
    <row r="28" spans="1:15" x14ac:dyDescent="0.25">
      <c r="A28" s="5">
        <v>2015</v>
      </c>
      <c r="B28" s="199">
        <f t="shared" si="0"/>
        <v>428.14220477171256</v>
      </c>
      <c r="C28" s="199">
        <f t="shared" si="0"/>
        <v>302.62216699999999</v>
      </c>
      <c r="D28" s="199">
        <f t="shared" si="0"/>
        <v>15.335908928590001</v>
      </c>
      <c r="E28" s="199">
        <f t="shared" ref="E28:E30" si="2">SUM(B28:D28)</f>
        <v>746.10028070030262</v>
      </c>
      <c r="F28" s="5"/>
      <c r="G28" s="5"/>
      <c r="H28" s="5"/>
      <c r="I28" s="5"/>
      <c r="J28" s="5"/>
      <c r="K28" s="5"/>
      <c r="L28" s="5"/>
      <c r="M28" s="5"/>
      <c r="N28" s="5"/>
      <c r="O28" s="5"/>
    </row>
    <row r="29" spans="1:15" x14ac:dyDescent="0.25">
      <c r="A29" s="5">
        <v>2016</v>
      </c>
      <c r="B29" s="199">
        <f t="shared" si="0"/>
        <v>343.87975935278638</v>
      </c>
      <c r="C29" s="199">
        <f t="shared" si="0"/>
        <v>336.45116132896806</v>
      </c>
      <c r="D29" s="199">
        <f t="shared" si="0"/>
        <v>15.674793067800005</v>
      </c>
      <c r="E29" s="199">
        <f t="shared" si="2"/>
        <v>696.00571374955439</v>
      </c>
      <c r="F29" s="5"/>
      <c r="G29" s="5"/>
      <c r="H29" s="5"/>
      <c r="I29" s="5"/>
      <c r="J29" s="5"/>
      <c r="K29" s="5"/>
      <c r="L29" s="5"/>
      <c r="M29" s="5"/>
      <c r="N29" s="5"/>
      <c r="O29" s="5"/>
    </row>
    <row r="30" spans="1:15" x14ac:dyDescent="0.25">
      <c r="A30" s="5">
        <v>2017</v>
      </c>
      <c r="B30" s="199">
        <f t="shared" si="0"/>
        <v>307.57909999999998</v>
      </c>
      <c r="C30" s="199">
        <f t="shared" si="0"/>
        <v>342.76940100000002</v>
      </c>
      <c r="D30" s="199">
        <f t="shared" si="0"/>
        <v>16.218247999999999</v>
      </c>
      <c r="E30" s="199">
        <f t="shared" si="2"/>
        <v>666.56674899999996</v>
      </c>
      <c r="F30" s="5"/>
      <c r="G30" s="5"/>
      <c r="H30" s="5"/>
      <c r="I30" s="5"/>
      <c r="J30" s="5"/>
      <c r="K30" s="5"/>
      <c r="L30" s="5"/>
      <c r="M30" s="5"/>
      <c r="N30" s="5"/>
      <c r="O30" s="5"/>
    </row>
    <row r="31" spans="1:15" x14ac:dyDescent="0.25">
      <c r="A31" s="5">
        <v>2018</v>
      </c>
      <c r="B31" s="199">
        <f t="shared" si="0"/>
        <v>301.54137674841866</v>
      </c>
      <c r="C31" s="199">
        <f t="shared" si="0"/>
        <v>344.07951964127847</v>
      </c>
      <c r="D31" s="199">
        <f t="shared" si="0"/>
        <v>16.639269999</v>
      </c>
      <c r="E31" s="199">
        <f>SUM(B31:D31)</f>
        <v>662.26016638869714</v>
      </c>
      <c r="F31" s="5"/>
      <c r="G31" s="5"/>
      <c r="H31" s="5"/>
      <c r="I31" s="5"/>
      <c r="J31" s="5"/>
      <c r="K31" s="5"/>
      <c r="L31" s="5"/>
      <c r="M31" s="5"/>
      <c r="N31" s="5"/>
      <c r="O31" s="5"/>
    </row>
    <row r="32" spans="1:15" x14ac:dyDescent="0.25">
      <c r="A32" s="5">
        <v>2009</v>
      </c>
      <c r="B32" s="199">
        <v>269060095</v>
      </c>
      <c r="C32" s="199">
        <v>213573900</v>
      </c>
      <c r="D32" s="199">
        <v>10641293</v>
      </c>
      <c r="E32" s="199">
        <f t="shared" si="1"/>
        <v>493275288</v>
      </c>
      <c r="F32" s="5"/>
      <c r="G32" s="5"/>
      <c r="H32" s="5"/>
      <c r="I32" s="5"/>
      <c r="J32" s="5"/>
      <c r="K32" s="5"/>
      <c r="L32" s="5"/>
      <c r="M32" s="5"/>
      <c r="N32" s="5"/>
      <c r="O32" s="5"/>
    </row>
    <row r="33" spans="1:15" x14ac:dyDescent="0.25">
      <c r="A33" s="5">
        <v>2010</v>
      </c>
      <c r="B33" s="199">
        <v>312049419</v>
      </c>
      <c r="C33" s="199">
        <v>211863700</v>
      </c>
      <c r="D33" s="199">
        <v>11676030</v>
      </c>
      <c r="E33" s="199">
        <f t="shared" si="1"/>
        <v>535589149</v>
      </c>
      <c r="F33" s="5"/>
      <c r="G33" s="5"/>
      <c r="H33" s="5"/>
      <c r="I33" s="5"/>
      <c r="J33" s="5"/>
      <c r="K33" s="5"/>
      <c r="L33" s="5"/>
      <c r="M33" s="5"/>
      <c r="N33" s="5"/>
      <c r="O33" s="5"/>
    </row>
    <row r="34" spans="1:15" x14ac:dyDescent="0.25">
      <c r="A34" s="5">
        <v>2011</v>
      </c>
      <c r="B34" s="199">
        <v>374898631</v>
      </c>
      <c r="C34" s="199">
        <v>235386426</v>
      </c>
      <c r="D34" s="199">
        <v>12317156</v>
      </c>
      <c r="E34" s="199">
        <f t="shared" si="1"/>
        <v>622602213</v>
      </c>
      <c r="F34" s="5"/>
      <c r="G34" s="5"/>
      <c r="H34" s="5"/>
      <c r="I34" s="5"/>
      <c r="J34" s="5"/>
      <c r="K34" s="5"/>
      <c r="L34" s="5"/>
      <c r="M34" s="5"/>
      <c r="N34" s="5"/>
      <c r="O34" s="5"/>
    </row>
    <row r="35" spans="1:15" x14ac:dyDescent="0.25">
      <c r="A35" s="5">
        <v>2012</v>
      </c>
      <c r="B35" s="199">
        <v>442008884</v>
      </c>
      <c r="C35" s="199">
        <v>272346544</v>
      </c>
      <c r="D35" s="199">
        <v>12259686</v>
      </c>
      <c r="E35" s="199">
        <f t="shared" si="1"/>
        <v>726615114</v>
      </c>
      <c r="F35" s="5"/>
      <c r="G35" s="5"/>
      <c r="H35" s="5"/>
      <c r="I35" s="5"/>
      <c r="J35" s="5"/>
      <c r="K35" s="5"/>
      <c r="L35" s="5"/>
      <c r="M35" s="5"/>
      <c r="N35" s="5"/>
      <c r="O35" s="5"/>
    </row>
    <row r="36" spans="1:15" x14ac:dyDescent="0.25">
      <c r="A36" s="5">
        <v>2013</v>
      </c>
      <c r="B36" s="199">
        <v>462590418</v>
      </c>
      <c r="C36" s="199">
        <v>316213911</v>
      </c>
      <c r="D36" s="199">
        <v>13303674</v>
      </c>
      <c r="E36" s="199">
        <f t="shared" si="1"/>
        <v>792108003</v>
      </c>
      <c r="F36" s="5"/>
      <c r="G36" s="5"/>
      <c r="H36" s="5"/>
      <c r="I36" s="5"/>
      <c r="J36" s="5"/>
      <c r="K36" s="5"/>
      <c r="L36" s="5"/>
      <c r="M36" s="5"/>
      <c r="N36" s="5"/>
      <c r="O36" s="5"/>
    </row>
    <row r="37" spans="1:15" x14ac:dyDescent="0.25">
      <c r="A37" s="5">
        <v>2014</v>
      </c>
      <c r="B37" s="199">
        <v>463908838</v>
      </c>
      <c r="C37" s="199">
        <v>294407060</v>
      </c>
      <c r="D37" s="199">
        <v>15140921</v>
      </c>
      <c r="E37" s="199">
        <f t="shared" si="1"/>
        <v>773456819</v>
      </c>
      <c r="F37" s="5"/>
      <c r="G37" s="5"/>
      <c r="H37" s="5"/>
      <c r="I37" s="5"/>
      <c r="J37" s="5"/>
      <c r="K37" s="5"/>
      <c r="L37" s="5"/>
      <c r="M37" s="5"/>
      <c r="N37" s="5"/>
      <c r="O37" s="5"/>
    </row>
    <row r="38" spans="1:15" x14ac:dyDescent="0.25">
      <c r="A38" s="5">
        <v>2015</v>
      </c>
      <c r="B38" s="199">
        <v>428142204.77171254</v>
      </c>
      <c r="C38" s="199">
        <v>302622167</v>
      </c>
      <c r="D38" s="199">
        <v>15335908.928590002</v>
      </c>
      <c r="E38" s="199">
        <f t="shared" ref="E38:E40" si="3">SUM(B38:D38)</f>
        <v>746100280.7003026</v>
      </c>
      <c r="F38" s="5"/>
      <c r="G38" s="5"/>
      <c r="H38" s="5"/>
      <c r="I38" s="5"/>
      <c r="J38" s="5"/>
      <c r="K38" s="5"/>
      <c r="L38" s="5"/>
      <c r="M38" s="5"/>
      <c r="N38" s="5"/>
      <c r="O38" s="5"/>
    </row>
    <row r="39" spans="1:15" x14ac:dyDescent="0.25">
      <c r="A39" s="5">
        <v>2016</v>
      </c>
      <c r="B39" s="199">
        <v>343879759.35278636</v>
      </c>
      <c r="C39" s="199">
        <v>336451161.32896805</v>
      </c>
      <c r="D39" s="199">
        <v>15674793.067800004</v>
      </c>
      <c r="E39" s="199">
        <f t="shared" si="3"/>
        <v>696005713.7495544</v>
      </c>
      <c r="F39" s="5"/>
      <c r="G39" s="5"/>
      <c r="H39" s="5"/>
      <c r="I39" s="5"/>
      <c r="J39" s="5"/>
      <c r="K39" s="5"/>
      <c r="L39" s="5"/>
      <c r="M39" s="5"/>
      <c r="N39" s="5"/>
      <c r="O39" s="5"/>
    </row>
    <row r="40" spans="1:15" x14ac:dyDescent="0.25">
      <c r="A40" s="5">
        <v>2017</v>
      </c>
      <c r="B40" s="199">
        <v>307579100</v>
      </c>
      <c r="C40" s="199">
        <v>342769401</v>
      </c>
      <c r="D40" s="199">
        <v>16218248</v>
      </c>
      <c r="E40" s="199">
        <f t="shared" si="3"/>
        <v>666566749</v>
      </c>
      <c r="F40" s="5"/>
      <c r="G40" s="5"/>
      <c r="H40" s="5"/>
      <c r="I40" s="5"/>
      <c r="J40" s="5"/>
      <c r="K40" s="5"/>
      <c r="L40" s="5"/>
      <c r="M40" s="5"/>
      <c r="N40" s="5"/>
      <c r="O40" s="5"/>
    </row>
    <row r="41" spans="1:15" x14ac:dyDescent="0.25">
      <c r="A41" s="5">
        <v>2018</v>
      </c>
      <c r="B41" s="199">
        <f>'Rate Support-Attachment I'!E53</f>
        <v>301541376.74841863</v>
      </c>
      <c r="C41" s="199">
        <f>'Rate Support-Attachment I'!C53</f>
        <v>344079519.64127845</v>
      </c>
      <c r="D41" s="199">
        <f>'Rate Support-Attachment I'!D53</f>
        <v>16639269.998999998</v>
      </c>
      <c r="E41" s="199">
        <f>SUM(B41:D41)</f>
        <v>662260166.38869703</v>
      </c>
      <c r="F41" s="5"/>
      <c r="G41" s="5"/>
      <c r="H41" s="5"/>
      <c r="I41" s="5"/>
      <c r="J41" s="5"/>
      <c r="K41" s="5"/>
      <c r="L41" s="5"/>
      <c r="M41" s="5"/>
      <c r="N41" s="5"/>
      <c r="O41" s="5"/>
    </row>
    <row r="42" spans="1:15" x14ac:dyDescent="0.25">
      <c r="A42" s="5"/>
      <c r="B42" s="5"/>
      <c r="C42" s="5"/>
      <c r="D42" s="5"/>
      <c r="E42" s="5"/>
      <c r="F42" s="5"/>
      <c r="G42" s="5"/>
      <c r="H42" s="5"/>
      <c r="I42" s="5"/>
      <c r="J42" s="5"/>
      <c r="K42" s="5"/>
      <c r="L42" s="5"/>
      <c r="M42" s="5"/>
      <c r="N42" s="5"/>
      <c r="O42" s="5"/>
    </row>
    <row r="43" spans="1:15" x14ac:dyDescent="0.25">
      <c r="A43" s="284" t="s">
        <v>859</v>
      </c>
      <c r="B43" s="5"/>
      <c r="C43" s="5"/>
      <c r="D43" s="5"/>
      <c r="E43" s="5"/>
      <c r="F43" s="5"/>
      <c r="G43" s="5"/>
      <c r="H43" s="5"/>
      <c r="I43" s="5"/>
      <c r="J43" s="5"/>
      <c r="K43" s="5"/>
      <c r="L43" s="5"/>
      <c r="M43" s="5"/>
      <c r="N43" s="5"/>
      <c r="O43" s="5"/>
    </row>
    <row r="44" spans="1:15" ht="30" x14ac:dyDescent="0.25">
      <c r="A44" s="200" t="s">
        <v>213</v>
      </c>
      <c r="B44" s="201" t="s">
        <v>218</v>
      </c>
      <c r="C44" s="201" t="s">
        <v>217</v>
      </c>
      <c r="D44" s="5"/>
      <c r="E44" s="5"/>
      <c r="F44" s="5"/>
      <c r="G44" s="5"/>
      <c r="H44" s="5"/>
      <c r="I44" s="5"/>
      <c r="J44" s="5"/>
      <c r="K44" s="5"/>
      <c r="L44" s="5"/>
      <c r="M44" s="5"/>
      <c r="N44" s="5"/>
      <c r="O44" s="5"/>
    </row>
    <row r="45" spans="1:15" x14ac:dyDescent="0.25">
      <c r="A45" s="5">
        <v>2009</v>
      </c>
      <c r="B45" s="199">
        <f t="shared" ref="B45:C54" si="4">+C57</f>
        <v>946.2381640606277</v>
      </c>
      <c r="C45" s="199">
        <f t="shared" si="4"/>
        <v>452.96287606062765</v>
      </c>
      <c r="D45" s="5"/>
      <c r="E45" s="5"/>
      <c r="F45" s="5"/>
      <c r="G45" s="5"/>
      <c r="H45" s="5"/>
      <c r="I45" s="5"/>
      <c r="J45" s="5"/>
      <c r="K45" s="5"/>
      <c r="L45" s="5"/>
      <c r="M45" s="5"/>
      <c r="N45" s="5"/>
      <c r="O45" s="5"/>
    </row>
    <row r="46" spans="1:15" x14ac:dyDescent="0.25">
      <c r="A46" s="5">
        <v>2010</v>
      </c>
      <c r="B46" s="199">
        <f t="shared" si="4"/>
        <v>1051.0517503757258</v>
      </c>
      <c r="C46" s="199">
        <f t="shared" si="4"/>
        <v>515.46260137572574</v>
      </c>
      <c r="D46" s="215"/>
      <c r="E46" s="5"/>
      <c r="F46" s="5"/>
      <c r="G46" s="5"/>
      <c r="H46" s="5"/>
      <c r="I46" s="5"/>
      <c r="J46" s="5"/>
      <c r="K46" s="5"/>
      <c r="L46" s="5"/>
      <c r="M46" s="5"/>
      <c r="N46" s="5"/>
      <c r="O46" s="5"/>
    </row>
    <row r="47" spans="1:15" x14ac:dyDescent="0.25">
      <c r="A47" s="5">
        <v>2011</v>
      </c>
      <c r="B47" s="199">
        <f t="shared" si="4"/>
        <v>1203.0176928095927</v>
      </c>
      <c r="C47" s="199">
        <f t="shared" si="4"/>
        <v>580.41547980959274</v>
      </c>
      <c r="D47" s="5"/>
      <c r="E47" s="5"/>
      <c r="F47" s="5"/>
      <c r="G47" s="5"/>
      <c r="H47" s="5"/>
      <c r="I47" s="5"/>
      <c r="J47" s="5"/>
      <c r="K47" s="5"/>
      <c r="L47" s="5"/>
      <c r="M47" s="5"/>
      <c r="N47" s="5"/>
      <c r="O47" s="5"/>
    </row>
    <row r="48" spans="1:15" x14ac:dyDescent="0.25">
      <c r="A48" s="5">
        <v>2012</v>
      </c>
      <c r="B48" s="199">
        <f t="shared" si="4"/>
        <v>1378.3019303951344</v>
      </c>
      <c r="C48" s="199">
        <f t="shared" si="4"/>
        <v>651.68681639513431</v>
      </c>
      <c r="D48" s="5"/>
      <c r="E48" s="5"/>
      <c r="F48" s="5"/>
      <c r="G48" s="5"/>
      <c r="H48" s="5"/>
      <c r="I48" s="5"/>
      <c r="J48" s="5"/>
      <c r="K48" s="5"/>
      <c r="L48" s="5"/>
      <c r="M48" s="5"/>
      <c r="N48" s="5"/>
      <c r="O48" s="5"/>
    </row>
    <row r="49" spans="1:15" x14ac:dyDescent="0.25">
      <c r="A49" s="5">
        <v>2013</v>
      </c>
      <c r="B49" s="199">
        <f t="shared" si="4"/>
        <v>1505.554321846221</v>
      </c>
      <c r="C49" s="199">
        <f t="shared" si="4"/>
        <v>713.44631884622095</v>
      </c>
      <c r="D49" s="5"/>
      <c r="E49" s="5"/>
      <c r="F49" s="5"/>
      <c r="G49" s="5"/>
      <c r="H49" s="5"/>
      <c r="I49" s="5"/>
      <c r="J49" s="5"/>
      <c r="K49" s="5"/>
      <c r="L49" s="5"/>
      <c r="M49" s="5"/>
      <c r="N49" s="5"/>
      <c r="O49" s="5"/>
    </row>
    <row r="50" spans="1:15" x14ac:dyDescent="0.25">
      <c r="A50" s="5">
        <v>2014</v>
      </c>
      <c r="B50" s="199">
        <f t="shared" si="4"/>
        <v>1498.125311</v>
      </c>
      <c r="C50" s="199">
        <f t="shared" si="4"/>
        <v>724.6684919999999</v>
      </c>
      <c r="D50" s="5"/>
      <c r="E50" s="5"/>
      <c r="F50" s="5"/>
      <c r="G50" s="5"/>
      <c r="H50" s="5"/>
      <c r="I50" s="5"/>
      <c r="J50" s="5"/>
      <c r="K50" s="5"/>
      <c r="L50" s="5"/>
      <c r="M50" s="5"/>
      <c r="N50" s="5"/>
      <c r="O50" s="5"/>
    </row>
    <row r="51" spans="1:15" x14ac:dyDescent="0.25">
      <c r="A51" s="5">
        <v>2015</v>
      </c>
      <c r="B51" s="199">
        <f t="shared" si="4"/>
        <v>1477.3026560000001</v>
      </c>
      <c r="C51" s="199">
        <f t="shared" si="4"/>
        <v>731.20237529969745</v>
      </c>
      <c r="D51" s="5"/>
      <c r="E51" s="5"/>
      <c r="F51" s="5"/>
      <c r="G51" s="5"/>
      <c r="H51" s="5"/>
      <c r="I51" s="5"/>
      <c r="J51" s="5"/>
      <c r="K51" s="5"/>
      <c r="L51" s="5"/>
      <c r="M51" s="5"/>
      <c r="N51" s="5"/>
      <c r="O51" s="5"/>
    </row>
    <row r="52" spans="1:15" x14ac:dyDescent="0.25">
      <c r="A52" s="5">
        <v>2016</v>
      </c>
      <c r="B52" s="199">
        <f t="shared" si="4"/>
        <v>1523.6728668289177</v>
      </c>
      <c r="C52" s="199">
        <f t="shared" si="4"/>
        <v>827.66715307936329</v>
      </c>
      <c r="D52" s="5"/>
      <c r="E52" s="5"/>
      <c r="F52" s="5"/>
      <c r="G52" s="5"/>
      <c r="H52" s="5"/>
      <c r="I52" s="5"/>
      <c r="J52" s="5"/>
      <c r="K52" s="5"/>
      <c r="L52" s="5"/>
      <c r="M52" s="5"/>
      <c r="N52" s="5"/>
      <c r="O52" s="5"/>
    </row>
    <row r="53" spans="1:15" x14ac:dyDescent="0.25">
      <c r="A53" s="5">
        <v>2017</v>
      </c>
      <c r="B53" s="199">
        <f t="shared" si="4"/>
        <v>1562.5152129999999</v>
      </c>
      <c r="C53" s="199">
        <f t="shared" si="4"/>
        <v>895.94846399999994</v>
      </c>
      <c r="D53" s="5"/>
      <c r="E53" s="5"/>
      <c r="F53" s="5"/>
      <c r="G53" s="5"/>
      <c r="H53" s="5"/>
      <c r="I53" s="5"/>
      <c r="J53" s="5"/>
      <c r="K53" s="5"/>
      <c r="L53" s="5"/>
      <c r="M53" s="5"/>
      <c r="N53" s="5"/>
      <c r="O53" s="5"/>
    </row>
    <row r="54" spans="1:15" x14ac:dyDescent="0.25">
      <c r="A54" s="5">
        <v>2018</v>
      </c>
      <c r="B54" s="199">
        <f t="shared" si="4"/>
        <v>1748.4416889699364</v>
      </c>
      <c r="C54" s="199">
        <f>+D66</f>
        <v>1086.1815225812393</v>
      </c>
      <c r="D54" s="5"/>
      <c r="E54" s="5"/>
      <c r="F54" s="5"/>
      <c r="G54" s="5"/>
      <c r="H54" s="5"/>
      <c r="I54" s="5"/>
      <c r="J54" s="5"/>
      <c r="K54" s="5"/>
      <c r="L54" s="5"/>
      <c r="M54" s="5"/>
      <c r="N54" s="5"/>
      <c r="O54" s="5"/>
    </row>
    <row r="55" spans="1:15" x14ac:dyDescent="0.25">
      <c r="A55" s="5"/>
      <c r="B55" s="5"/>
      <c r="C55" s="5"/>
      <c r="D55" s="5"/>
      <c r="E55" s="5"/>
      <c r="F55" s="5"/>
      <c r="G55" s="5"/>
      <c r="H55" s="5"/>
      <c r="I55" s="5"/>
      <c r="J55" s="5"/>
      <c r="K55" s="5"/>
      <c r="L55" s="5"/>
      <c r="M55" s="5"/>
      <c r="N55" s="5"/>
      <c r="O55" s="5"/>
    </row>
    <row r="56" spans="1:15" ht="30" x14ac:dyDescent="0.25">
      <c r="A56" s="200" t="s">
        <v>213</v>
      </c>
      <c r="B56" s="201" t="s">
        <v>216</v>
      </c>
      <c r="C56" s="201" t="s">
        <v>214</v>
      </c>
      <c r="D56" s="202" t="s">
        <v>434</v>
      </c>
      <c r="E56" s="5"/>
      <c r="F56" s="5"/>
      <c r="G56" s="5"/>
      <c r="H56" s="5"/>
      <c r="I56" s="5"/>
      <c r="J56" s="5"/>
      <c r="K56" s="5"/>
      <c r="L56" s="5"/>
      <c r="M56" s="5"/>
      <c r="N56" s="5"/>
      <c r="O56" s="5"/>
    </row>
    <row r="57" spans="1:15" x14ac:dyDescent="0.25">
      <c r="A57" s="5">
        <v>2009</v>
      </c>
      <c r="B57" s="199">
        <f t="shared" ref="B57:C62" si="5">+B81/1000000</f>
        <v>12442.727824140587</v>
      </c>
      <c r="C57" s="199">
        <f t="shared" si="5"/>
        <v>946.2381640606277</v>
      </c>
      <c r="D57" s="199">
        <f t="shared" ref="D57:D66" si="6">+C57-E22</f>
        <v>452.96287606062765</v>
      </c>
      <c r="E57" s="203"/>
      <c r="F57" s="5"/>
      <c r="G57" s="5"/>
      <c r="H57" s="5"/>
      <c r="I57" s="5"/>
      <c r="J57" s="5"/>
      <c r="K57" s="5"/>
      <c r="L57" s="5"/>
      <c r="M57" s="5"/>
      <c r="N57" s="5"/>
      <c r="O57" s="5"/>
    </row>
    <row r="58" spans="1:15" x14ac:dyDescent="0.25">
      <c r="A58" s="5">
        <v>2010</v>
      </c>
      <c r="B58" s="199">
        <f t="shared" si="5"/>
        <v>12647.785379358338</v>
      </c>
      <c r="C58" s="199">
        <f t="shared" si="5"/>
        <v>1051.0517503757258</v>
      </c>
      <c r="D58" s="199">
        <f t="shared" si="6"/>
        <v>515.46260137572574</v>
      </c>
      <c r="E58" s="203"/>
      <c r="F58" s="5"/>
      <c r="G58" s="5"/>
      <c r="H58" s="5"/>
      <c r="I58" s="5"/>
      <c r="J58" s="5"/>
      <c r="K58" s="5"/>
      <c r="L58" s="5"/>
      <c r="M58" s="5"/>
      <c r="N58" s="5"/>
      <c r="O58" s="5"/>
    </row>
    <row r="59" spans="1:15" x14ac:dyDescent="0.25">
      <c r="A59" s="5">
        <v>2011</v>
      </c>
      <c r="B59" s="199">
        <f t="shared" si="5"/>
        <v>13039.588671793743</v>
      </c>
      <c r="C59" s="199">
        <f t="shared" si="5"/>
        <v>1203.0176928095927</v>
      </c>
      <c r="D59" s="199">
        <f t="shared" si="6"/>
        <v>580.41547980959274</v>
      </c>
      <c r="E59" s="203"/>
      <c r="F59" s="5"/>
      <c r="G59" s="5"/>
      <c r="H59" s="5"/>
      <c r="I59" s="5"/>
      <c r="J59" s="5"/>
      <c r="K59" s="5"/>
      <c r="L59" s="5"/>
      <c r="M59" s="5"/>
      <c r="N59" s="5"/>
      <c r="O59" s="5"/>
    </row>
    <row r="60" spans="1:15" x14ac:dyDescent="0.25">
      <c r="A60" s="5">
        <v>2012</v>
      </c>
      <c r="B60" s="199">
        <f t="shared" si="5"/>
        <v>13532.154004168002</v>
      </c>
      <c r="C60" s="199">
        <f t="shared" si="5"/>
        <v>1378.3019303951344</v>
      </c>
      <c r="D60" s="199">
        <f t="shared" si="6"/>
        <v>651.68681639513431</v>
      </c>
      <c r="E60" s="203"/>
      <c r="F60" s="5"/>
      <c r="G60" s="5"/>
      <c r="H60" s="5"/>
      <c r="I60" s="5"/>
      <c r="J60" s="5"/>
      <c r="K60" s="5"/>
      <c r="L60" s="5"/>
      <c r="M60" s="5"/>
      <c r="N60" s="5"/>
      <c r="O60" s="5"/>
    </row>
    <row r="61" spans="1:15" x14ac:dyDescent="0.25">
      <c r="A61" s="5">
        <v>2013</v>
      </c>
      <c r="B61" s="199">
        <f t="shared" si="5"/>
        <v>13625.073340212002</v>
      </c>
      <c r="C61" s="199">
        <f t="shared" si="5"/>
        <v>1505.554321846221</v>
      </c>
      <c r="D61" s="199">
        <f t="shared" si="6"/>
        <v>713.44631884622095</v>
      </c>
      <c r="E61" s="203"/>
      <c r="F61" s="5"/>
      <c r="G61" s="5"/>
      <c r="H61" s="5"/>
      <c r="I61" s="5"/>
      <c r="J61" s="5"/>
      <c r="K61" s="5"/>
      <c r="L61" s="5"/>
      <c r="M61" s="5"/>
      <c r="N61" s="5"/>
      <c r="O61" s="5"/>
    </row>
    <row r="62" spans="1:15" x14ac:dyDescent="0.25">
      <c r="A62" s="5">
        <v>2014</v>
      </c>
      <c r="B62" s="199">
        <f t="shared" si="5"/>
        <v>14105.52369</v>
      </c>
      <c r="C62" s="199">
        <f t="shared" si="5"/>
        <v>1498.125311</v>
      </c>
      <c r="D62" s="199">
        <f t="shared" si="6"/>
        <v>724.6684919999999</v>
      </c>
      <c r="E62" s="203"/>
      <c r="F62" s="203"/>
      <c r="G62" s="5"/>
      <c r="H62" s="5"/>
      <c r="I62" s="5"/>
      <c r="J62" s="5"/>
      <c r="K62" s="5"/>
      <c r="L62" s="5"/>
      <c r="M62" s="5"/>
      <c r="N62" s="5"/>
      <c r="O62" s="5"/>
    </row>
    <row r="63" spans="1:15" x14ac:dyDescent="0.25">
      <c r="A63" s="5">
        <v>2015</v>
      </c>
      <c r="B63" s="199">
        <f t="shared" ref="B63:C65" si="7">+B87/1000000</f>
        <v>14693.452601719999</v>
      </c>
      <c r="C63" s="199">
        <f t="shared" si="7"/>
        <v>1477.3026560000001</v>
      </c>
      <c r="D63" s="199">
        <f t="shared" si="6"/>
        <v>731.20237529969745</v>
      </c>
      <c r="E63" s="203"/>
      <c r="F63" s="5"/>
      <c r="G63" s="5"/>
      <c r="H63" s="5"/>
      <c r="I63" s="5"/>
      <c r="J63" s="5"/>
      <c r="K63" s="5"/>
      <c r="L63" s="5"/>
      <c r="M63" s="5"/>
      <c r="N63" s="5"/>
      <c r="O63" s="5"/>
    </row>
    <row r="64" spans="1:15" x14ac:dyDescent="0.25">
      <c r="A64" s="5">
        <v>2016</v>
      </c>
      <c r="B64" s="199">
        <f t="shared" si="7"/>
        <v>16329.405720936335</v>
      </c>
      <c r="C64" s="199">
        <f t="shared" si="7"/>
        <v>1523.6728668289177</v>
      </c>
      <c r="D64" s="199">
        <f t="shared" si="6"/>
        <v>827.66715307936329</v>
      </c>
      <c r="E64" s="203"/>
      <c r="F64" s="5"/>
      <c r="G64" s="5"/>
      <c r="H64" s="5"/>
      <c r="I64" s="5"/>
      <c r="J64" s="5"/>
      <c r="K64" s="5"/>
      <c r="L64" s="5"/>
      <c r="M64" s="5"/>
      <c r="N64" s="5"/>
      <c r="O64" s="5"/>
    </row>
    <row r="65" spans="1:15" x14ac:dyDescent="0.25">
      <c r="A65" s="5">
        <v>2017</v>
      </c>
      <c r="B65" s="199">
        <f t="shared" si="7"/>
        <v>15834.40826</v>
      </c>
      <c r="C65" s="199">
        <f t="shared" si="7"/>
        <v>1562.5152129999999</v>
      </c>
      <c r="D65" s="199">
        <f t="shared" si="6"/>
        <v>895.94846399999994</v>
      </c>
      <c r="E65" s="203"/>
      <c r="F65" s="5"/>
      <c r="G65" s="5"/>
      <c r="H65" s="5"/>
      <c r="I65" s="5"/>
      <c r="J65" s="5"/>
      <c r="K65" s="5"/>
      <c r="L65" s="5"/>
      <c r="M65" s="5"/>
      <c r="N65" s="5"/>
      <c r="O65" s="5"/>
    </row>
    <row r="66" spans="1:15" x14ac:dyDescent="0.25">
      <c r="A66" s="5">
        <v>2018</v>
      </c>
      <c r="B66" s="199">
        <f>+B90/1000000</f>
        <v>16143.540167628906</v>
      </c>
      <c r="C66" s="199">
        <f>+C90/1000000</f>
        <v>1748.4416889699364</v>
      </c>
      <c r="D66" s="199">
        <f t="shared" si="6"/>
        <v>1086.1815225812393</v>
      </c>
      <c r="E66" s="203"/>
      <c r="F66" s="5"/>
      <c r="G66" s="5"/>
      <c r="H66" s="5"/>
      <c r="I66" s="5"/>
      <c r="J66" s="5"/>
      <c r="K66" s="5"/>
      <c r="L66" s="5"/>
      <c r="M66" s="5"/>
      <c r="N66" s="5"/>
      <c r="O66" s="5"/>
    </row>
    <row r="67" spans="1:15" x14ac:dyDescent="0.25">
      <c r="A67" s="5"/>
      <c r="B67" s="5"/>
      <c r="C67" s="5"/>
      <c r="D67" s="5"/>
      <c r="E67" s="5"/>
      <c r="F67" s="5"/>
      <c r="G67" s="5"/>
      <c r="H67" s="5"/>
      <c r="I67" s="5"/>
      <c r="J67" s="5"/>
      <c r="K67" s="5"/>
      <c r="L67" s="5"/>
      <c r="M67" s="5"/>
      <c r="N67" s="5"/>
      <c r="O67" s="5"/>
    </row>
    <row r="68" spans="1:15" ht="45" x14ac:dyDescent="0.25">
      <c r="A68" s="200" t="s">
        <v>213</v>
      </c>
      <c r="B68" s="201" t="s">
        <v>212</v>
      </c>
      <c r="C68" s="213" t="s">
        <v>530</v>
      </c>
      <c r="D68" s="5"/>
      <c r="E68" s="5"/>
      <c r="F68" s="5"/>
      <c r="G68" s="5"/>
      <c r="H68" s="5"/>
      <c r="I68" s="5"/>
      <c r="J68" s="5"/>
      <c r="K68" s="5"/>
      <c r="L68" s="5"/>
      <c r="M68" s="5"/>
      <c r="N68" s="5"/>
      <c r="O68" s="5"/>
    </row>
    <row r="69" spans="1:15" x14ac:dyDescent="0.25">
      <c r="A69" s="5">
        <v>2009</v>
      </c>
      <c r="B69" s="203">
        <f t="shared" ref="B69:B78" si="8">+C57/B57</f>
        <v>7.6047485522008823E-2</v>
      </c>
      <c r="C69" s="204">
        <f t="shared" ref="C69:C78" si="9">D57/B57</f>
        <v>3.6403824182493001E-2</v>
      </c>
      <c r="D69" s="5"/>
      <c r="E69" s="5"/>
      <c r="F69" s="5"/>
      <c r="G69" s="5"/>
      <c r="H69" s="5"/>
      <c r="I69" s="5"/>
      <c r="J69" s="5"/>
      <c r="K69" s="5"/>
      <c r="L69" s="5"/>
      <c r="M69" s="5"/>
      <c r="N69" s="5"/>
      <c r="O69" s="5"/>
    </row>
    <row r="70" spans="1:15" x14ac:dyDescent="0.25">
      <c r="A70" s="5">
        <v>2010</v>
      </c>
      <c r="B70" s="203">
        <f t="shared" si="8"/>
        <v>8.3101643398462613E-2</v>
      </c>
      <c r="C70" s="204">
        <f t="shared" si="9"/>
        <v>4.0755166688468646E-2</v>
      </c>
      <c r="D70" s="5"/>
      <c r="E70" s="5"/>
      <c r="F70" s="5"/>
      <c r="G70" s="5"/>
      <c r="H70" s="5"/>
      <c r="I70" s="5"/>
      <c r="J70" s="5"/>
      <c r="K70" s="5"/>
      <c r="L70" s="5"/>
      <c r="M70" s="5"/>
      <c r="N70" s="5"/>
      <c r="O70" s="5"/>
    </row>
    <row r="71" spans="1:15" x14ac:dyDescent="0.25">
      <c r="A71" s="5">
        <v>2011</v>
      </c>
      <c r="B71" s="203">
        <f t="shared" si="8"/>
        <v>9.2258868211991238E-2</v>
      </c>
      <c r="C71" s="204">
        <f t="shared" si="9"/>
        <v>4.4511793617010624E-2</v>
      </c>
      <c r="D71" s="5"/>
      <c r="E71" s="5"/>
      <c r="F71" s="5"/>
      <c r="G71" s="5"/>
      <c r="H71" s="5"/>
      <c r="I71" s="5"/>
      <c r="J71" s="5"/>
      <c r="K71" s="5"/>
      <c r="L71" s="5"/>
      <c r="M71" s="5"/>
      <c r="N71" s="5"/>
      <c r="O71" s="5"/>
    </row>
    <row r="72" spans="1:15" x14ac:dyDescent="0.25">
      <c r="A72" s="5">
        <v>2012</v>
      </c>
      <c r="B72" s="203">
        <f t="shared" si="8"/>
        <v>0.10185384603002651</v>
      </c>
      <c r="C72" s="204">
        <f t="shared" si="9"/>
        <v>4.8158394901093353E-2</v>
      </c>
      <c r="D72" s="5"/>
      <c r="E72" s="5"/>
      <c r="F72" s="5"/>
      <c r="G72" s="5"/>
      <c r="H72" s="5"/>
      <c r="I72" s="5"/>
      <c r="J72" s="5"/>
      <c r="K72" s="5"/>
      <c r="L72" s="5"/>
      <c r="M72" s="5"/>
      <c r="N72" s="5"/>
      <c r="O72" s="5"/>
    </row>
    <row r="73" spans="1:15" x14ac:dyDescent="0.25">
      <c r="A73" s="5">
        <v>2013</v>
      </c>
      <c r="B73" s="203">
        <f t="shared" si="8"/>
        <v>0.1104988049791147</v>
      </c>
      <c r="C73" s="204">
        <f t="shared" si="9"/>
        <v>5.2362750719338144E-2</v>
      </c>
      <c r="D73" s="5"/>
      <c r="E73" s="5"/>
      <c r="F73" s="5"/>
      <c r="G73" s="5"/>
      <c r="H73" s="5"/>
      <c r="I73" s="5"/>
      <c r="J73" s="5"/>
      <c r="K73" s="5"/>
      <c r="L73" s="5"/>
      <c r="M73" s="5"/>
      <c r="N73" s="5"/>
      <c r="O73" s="5"/>
    </row>
    <row r="74" spans="1:15" x14ac:dyDescent="0.25">
      <c r="A74" s="5">
        <v>2014</v>
      </c>
      <c r="B74" s="203">
        <f t="shared" si="8"/>
        <v>0.10620841479725308</v>
      </c>
      <c r="C74" s="204">
        <f t="shared" si="9"/>
        <v>5.1374802377152994E-2</v>
      </c>
      <c r="D74" s="5"/>
      <c r="E74" s="5"/>
      <c r="F74" s="5"/>
      <c r="G74" s="5"/>
      <c r="H74" s="5"/>
      <c r="I74" s="5"/>
      <c r="J74" s="5"/>
      <c r="K74" s="5"/>
      <c r="L74" s="5"/>
      <c r="M74" s="5"/>
      <c r="N74" s="5"/>
      <c r="O74" s="5"/>
    </row>
    <row r="75" spans="1:15" x14ac:dyDescent="0.25">
      <c r="A75" s="5">
        <v>2015</v>
      </c>
      <c r="B75" s="203">
        <f t="shared" si="8"/>
        <v>0.10054156065587122</v>
      </c>
      <c r="C75" s="204">
        <f t="shared" si="9"/>
        <v>4.9763823052323575E-2</v>
      </c>
      <c r="D75" s="5"/>
      <c r="E75" s="5"/>
      <c r="F75" s="5"/>
      <c r="G75" s="5"/>
      <c r="H75" s="5"/>
      <c r="I75" s="5"/>
      <c r="J75" s="5"/>
      <c r="K75" s="5"/>
      <c r="L75" s="5"/>
      <c r="M75" s="5"/>
      <c r="N75" s="5"/>
      <c r="O75" s="5"/>
    </row>
    <row r="76" spans="1:15" x14ac:dyDescent="0.25">
      <c r="A76" s="5">
        <v>2016</v>
      </c>
      <c r="B76" s="203">
        <f t="shared" si="8"/>
        <v>9.3308531422878357E-2</v>
      </c>
      <c r="C76" s="204">
        <f t="shared" si="9"/>
        <v>5.0685687355920786E-2</v>
      </c>
      <c r="D76" s="5"/>
      <c r="E76" s="5"/>
      <c r="F76" s="5"/>
      <c r="G76" s="5"/>
      <c r="H76" s="5"/>
      <c r="I76" s="5"/>
      <c r="J76" s="5"/>
      <c r="K76" s="5"/>
      <c r="L76" s="5"/>
      <c r="M76" s="5"/>
      <c r="N76" s="5"/>
      <c r="O76" s="5"/>
    </row>
    <row r="77" spans="1:15" x14ac:dyDescent="0.25">
      <c r="A77" s="5">
        <v>2017</v>
      </c>
      <c r="B77" s="203">
        <f t="shared" si="8"/>
        <v>9.8678472055513361E-2</v>
      </c>
      <c r="C77" s="204">
        <f t="shared" si="9"/>
        <v>5.6582377395389953E-2</v>
      </c>
      <c r="D77" s="5"/>
      <c r="E77" s="5"/>
      <c r="F77" s="5"/>
      <c r="G77" s="5"/>
      <c r="H77" s="5"/>
      <c r="I77" s="5"/>
      <c r="J77" s="5"/>
      <c r="K77" s="5"/>
      <c r="L77" s="5"/>
      <c r="M77" s="5"/>
      <c r="N77" s="5"/>
      <c r="O77" s="5"/>
    </row>
    <row r="78" spans="1:15" x14ac:dyDescent="0.25">
      <c r="A78" s="5">
        <v>2018</v>
      </c>
      <c r="B78" s="203">
        <f t="shared" si="8"/>
        <v>0.1083059645415272</v>
      </c>
      <c r="C78" s="204">
        <f t="shared" si="9"/>
        <v>6.7282734226985413E-2</v>
      </c>
      <c r="D78" s="5"/>
      <c r="E78" s="5"/>
      <c r="F78" s="5"/>
      <c r="G78" s="5"/>
      <c r="H78" s="5"/>
      <c r="I78" s="5"/>
      <c r="J78" s="5"/>
      <c r="K78" s="5"/>
      <c r="L78" s="5"/>
      <c r="M78" s="5"/>
      <c r="N78" s="5"/>
      <c r="O78" s="5"/>
    </row>
    <row r="79" spans="1:15" x14ac:dyDescent="0.25">
      <c r="A79" s="5"/>
      <c r="B79" s="5"/>
      <c r="C79" s="5"/>
      <c r="D79" s="5"/>
      <c r="E79" s="5"/>
      <c r="F79" s="5"/>
      <c r="G79" s="5"/>
      <c r="H79" s="5"/>
      <c r="I79" s="5"/>
      <c r="J79" s="5"/>
      <c r="K79" s="5"/>
      <c r="L79" s="5"/>
      <c r="M79" s="5"/>
      <c r="N79" s="5"/>
      <c r="O79" s="5"/>
    </row>
    <row r="80" spans="1:15" ht="30" x14ac:dyDescent="0.25">
      <c r="A80" s="205" t="s">
        <v>213</v>
      </c>
      <c r="B80" s="206" t="s">
        <v>432</v>
      </c>
      <c r="C80" s="236" t="s">
        <v>610</v>
      </c>
      <c r="D80" s="5"/>
      <c r="E80" s="5"/>
      <c r="F80" s="5"/>
      <c r="G80" s="5"/>
      <c r="H80" s="5"/>
      <c r="I80" s="5"/>
      <c r="J80" s="5"/>
      <c r="K80" s="5"/>
      <c r="L80" s="5"/>
      <c r="M80" s="5"/>
      <c r="N80" s="5"/>
      <c r="O80" s="5"/>
    </row>
    <row r="81" spans="1:15" x14ac:dyDescent="0.25">
      <c r="A81" s="5">
        <v>2009</v>
      </c>
      <c r="B81" s="207">
        <v>12442727824.140587</v>
      </c>
      <c r="C81" s="207">
        <v>946238164.0606277</v>
      </c>
      <c r="D81" s="5"/>
      <c r="E81" s="5"/>
      <c r="F81" s="5"/>
      <c r="G81" s="5"/>
      <c r="H81" s="5"/>
      <c r="I81" s="5"/>
      <c r="J81" s="5"/>
      <c r="K81" s="5"/>
      <c r="L81" s="5"/>
      <c r="M81" s="5"/>
      <c r="N81" s="5"/>
      <c r="O81" s="5"/>
    </row>
    <row r="82" spans="1:15" x14ac:dyDescent="0.25">
      <c r="A82" s="5">
        <v>2010</v>
      </c>
      <c r="B82" s="207">
        <v>12647785379.358337</v>
      </c>
      <c r="C82" s="207">
        <v>1051051750.3757259</v>
      </c>
      <c r="D82" s="5"/>
      <c r="E82" s="5"/>
      <c r="F82" s="5"/>
      <c r="G82" s="5"/>
      <c r="H82" s="5"/>
      <c r="I82" s="5"/>
      <c r="J82" s="5"/>
      <c r="K82" s="5"/>
      <c r="L82" s="5"/>
      <c r="M82" s="5"/>
      <c r="N82" s="5"/>
      <c r="O82" s="5"/>
    </row>
    <row r="83" spans="1:15" x14ac:dyDescent="0.25">
      <c r="A83" s="5">
        <v>2011</v>
      </c>
      <c r="B83" s="207">
        <v>13039588671.793743</v>
      </c>
      <c r="C83" s="207">
        <v>1203017692.8095927</v>
      </c>
      <c r="D83" s="5"/>
      <c r="E83" s="5"/>
      <c r="F83" s="5"/>
      <c r="G83" s="5"/>
      <c r="H83" s="5"/>
      <c r="I83" s="5"/>
      <c r="J83" s="5"/>
      <c r="K83" s="5"/>
      <c r="L83" s="5"/>
      <c r="M83" s="5"/>
      <c r="N83" s="5"/>
      <c r="O83" s="5"/>
    </row>
    <row r="84" spans="1:15" x14ac:dyDescent="0.25">
      <c r="A84" s="5">
        <v>2012</v>
      </c>
      <c r="B84" s="207">
        <v>13532154004.168001</v>
      </c>
      <c r="C84" s="207">
        <v>1378301930.3951344</v>
      </c>
      <c r="D84" s="5"/>
      <c r="E84" s="5"/>
      <c r="F84" s="5"/>
      <c r="G84" s="5"/>
      <c r="H84" s="5"/>
      <c r="I84" s="5"/>
      <c r="J84" s="5"/>
      <c r="K84" s="5"/>
      <c r="L84" s="5"/>
      <c r="M84" s="5"/>
      <c r="N84" s="5"/>
      <c r="O84" s="5"/>
    </row>
    <row r="85" spans="1:15" x14ac:dyDescent="0.25">
      <c r="A85" s="5">
        <v>2013</v>
      </c>
      <c r="B85" s="207">
        <v>13625073340.212002</v>
      </c>
      <c r="C85" s="207">
        <v>1505554321.846221</v>
      </c>
      <c r="D85" s="5"/>
      <c r="E85" s="5"/>
      <c r="F85" s="5"/>
      <c r="G85" s="5"/>
      <c r="H85" s="5"/>
      <c r="I85" s="5"/>
      <c r="J85" s="5"/>
      <c r="K85" s="5"/>
      <c r="L85" s="5"/>
      <c r="M85" s="5"/>
      <c r="N85" s="5"/>
      <c r="O85" s="5"/>
    </row>
    <row r="86" spans="1:15" x14ac:dyDescent="0.25">
      <c r="A86" s="5">
        <v>2014</v>
      </c>
      <c r="B86" s="207">
        <v>14105523690</v>
      </c>
      <c r="C86" s="207">
        <v>1498125311</v>
      </c>
      <c r="D86" s="5"/>
      <c r="E86" s="5"/>
      <c r="F86" s="5"/>
      <c r="G86" s="5"/>
      <c r="H86" s="5"/>
      <c r="I86" s="5"/>
      <c r="J86" s="5"/>
      <c r="K86" s="5"/>
      <c r="L86" s="5"/>
      <c r="M86" s="5"/>
      <c r="N86" s="5"/>
      <c r="O86" s="5"/>
    </row>
    <row r="87" spans="1:15" x14ac:dyDescent="0.25">
      <c r="A87">
        <v>2015</v>
      </c>
      <c r="B87" s="208">
        <v>14693452601.719999</v>
      </c>
      <c r="C87" s="216">
        <v>1477302656</v>
      </c>
      <c r="D87"/>
      <c r="E87"/>
      <c r="F87"/>
      <c r="G87"/>
      <c r="H87"/>
      <c r="I87"/>
      <c r="J87"/>
      <c r="K87"/>
      <c r="L87"/>
      <c r="M87"/>
      <c r="N87"/>
      <c r="O87"/>
    </row>
    <row r="88" spans="1:15" x14ac:dyDescent="0.25">
      <c r="A88" s="151">
        <v>2016</v>
      </c>
      <c r="B88" s="208">
        <v>16329405720.936335</v>
      </c>
      <c r="C88" s="216">
        <v>1523672866.8289177</v>
      </c>
      <c r="D88" s="151"/>
      <c r="E88" s="151"/>
      <c r="F88" s="151"/>
      <c r="G88" s="151"/>
      <c r="H88" s="151"/>
      <c r="I88" s="151"/>
      <c r="J88" s="151"/>
      <c r="K88" s="151"/>
      <c r="L88" s="151"/>
      <c r="M88" s="151"/>
      <c r="N88" s="151"/>
      <c r="O88" s="151"/>
    </row>
    <row r="89" spans="1:15" x14ac:dyDescent="0.25">
      <c r="A89">
        <v>2017</v>
      </c>
      <c r="B89" s="283">
        <v>15834408260</v>
      </c>
      <c r="C89" s="283">
        <v>1562515213</v>
      </c>
      <c r="D89"/>
      <c r="E89"/>
      <c r="F89"/>
      <c r="G89"/>
      <c r="H89"/>
      <c r="I89"/>
      <c r="J89"/>
      <c r="K89"/>
      <c r="L89"/>
      <c r="M89"/>
      <c r="N89"/>
      <c r="O89"/>
    </row>
    <row r="90" spans="1:15" x14ac:dyDescent="0.25">
      <c r="A90" s="151">
        <v>2018</v>
      </c>
      <c r="B90" s="208">
        <f>'Attachment II-All Hospitals'!$E$56</f>
        <v>16143540167.628906</v>
      </c>
      <c r="C90" s="208">
        <f>'Attachment II-All Hospitals'!F56</f>
        <v>1748441688.9699364</v>
      </c>
      <c r="D90" s="151"/>
      <c r="E90" s="151"/>
      <c r="F90" s="151"/>
      <c r="G90" s="151"/>
      <c r="H90" s="151"/>
      <c r="I90" s="151"/>
      <c r="J90" s="151"/>
      <c r="K90" s="151"/>
      <c r="L90" s="151"/>
      <c r="M90" s="151"/>
      <c r="N90" s="151"/>
      <c r="O90" s="151"/>
    </row>
    <row r="92" spans="1:15" x14ac:dyDescent="0.25">
      <c r="C92" s="160"/>
    </row>
    <row r="93" spans="1:15" x14ac:dyDescent="0.25">
      <c r="B93" s="156"/>
      <c r="C93" s="160"/>
    </row>
    <row r="94" spans="1:15" x14ac:dyDescent="0.25">
      <c r="C94" s="160"/>
    </row>
    <row r="95" spans="1:15" x14ac:dyDescent="0.25">
      <c r="C95" s="161"/>
    </row>
    <row r="96" spans="1:15" x14ac:dyDescent="0.25">
      <c r="C96" s="162"/>
    </row>
    <row r="98" spans="1:5" x14ac:dyDescent="0.25">
      <c r="C98" s="160"/>
    </row>
    <row r="99" spans="1:5" x14ac:dyDescent="0.25">
      <c r="B99" s="156"/>
      <c r="C99" s="160"/>
    </row>
    <row r="101" spans="1:5" x14ac:dyDescent="0.25">
      <c r="C101" s="161"/>
    </row>
    <row r="102" spans="1:5" x14ac:dyDescent="0.25">
      <c r="C102" s="162"/>
    </row>
    <row r="106" spans="1:5" ht="18.75" x14ac:dyDescent="0.3">
      <c r="A106" s="163"/>
      <c r="B106" s="164"/>
      <c r="D106" s="165"/>
      <c r="E106" s="166"/>
    </row>
    <row r="107" spans="1:5" x14ac:dyDescent="0.25">
      <c r="B107" s="164"/>
      <c r="D107" s="167"/>
    </row>
    <row r="108" spans="1:5" x14ac:dyDescent="0.25">
      <c r="B108" s="164"/>
      <c r="D108" s="167"/>
      <c r="E108" s="167"/>
    </row>
    <row r="109" spans="1:5" x14ac:dyDescent="0.25">
      <c r="B109" s="164"/>
      <c r="D109" s="160"/>
      <c r="E109" s="160"/>
    </row>
    <row r="110" spans="1:5" ht="17.25" x14ac:dyDescent="0.4">
      <c r="B110" s="164"/>
      <c r="D110" s="168"/>
      <c r="E110" s="168"/>
    </row>
    <row r="111" spans="1:5" x14ac:dyDescent="0.25">
      <c r="A111" s="169"/>
      <c r="B111" s="170"/>
      <c r="C111" s="169"/>
      <c r="D111" s="171"/>
      <c r="E111" s="171"/>
    </row>
    <row r="112" spans="1:5" x14ac:dyDescent="0.25">
      <c r="B112" s="164"/>
      <c r="D112" s="167"/>
    </row>
    <row r="113" spans="1:5" x14ac:dyDescent="0.25">
      <c r="A113" s="172"/>
      <c r="D113" s="160"/>
    </row>
    <row r="114" spans="1:5" x14ac:dyDescent="0.25">
      <c r="A114" s="173"/>
      <c r="D114" s="160"/>
    </row>
    <row r="115" spans="1:5" x14ac:dyDescent="0.25">
      <c r="D115" s="160"/>
    </row>
    <row r="116" spans="1:5" x14ac:dyDescent="0.25">
      <c r="D116" s="160"/>
    </row>
    <row r="117" spans="1:5" x14ac:dyDescent="0.25">
      <c r="D117" s="160"/>
    </row>
    <row r="118" spans="1:5" ht="17.25" x14ac:dyDescent="0.4">
      <c r="D118" s="168"/>
    </row>
    <row r="119" spans="1:5" ht="17.25" x14ac:dyDescent="0.4">
      <c r="A119" s="169"/>
      <c r="B119" s="169"/>
      <c r="C119" s="169"/>
      <c r="D119" s="174"/>
      <c r="E119" s="175"/>
    </row>
    <row r="120" spans="1:5" x14ac:dyDescent="0.25">
      <c r="A120" s="169"/>
      <c r="B120" s="169"/>
      <c r="C120" s="169"/>
      <c r="D120" s="169"/>
      <c r="E120" s="176"/>
    </row>
    <row r="121" spans="1:5" ht="17.25" x14ac:dyDescent="0.4">
      <c r="D121" s="177"/>
      <c r="E121" s="178"/>
    </row>
    <row r="124" spans="1:5" ht="17.25" x14ac:dyDescent="0.4">
      <c r="D124" s="179"/>
      <c r="E124" s="175"/>
    </row>
    <row r="126" spans="1:5" ht="17.25" x14ac:dyDescent="0.4">
      <c r="D126" s="180"/>
      <c r="E126" s="180"/>
    </row>
    <row r="128" spans="1:5" ht="17.25" x14ac:dyDescent="0.4">
      <c r="D128" s="175"/>
      <c r="E128" s="175"/>
    </row>
    <row r="130" spans="1:5" ht="18.75" x14ac:dyDescent="0.3">
      <c r="A130" s="181"/>
      <c r="B130" s="181"/>
      <c r="C130" s="181"/>
      <c r="D130" s="182"/>
      <c r="E130" s="182"/>
    </row>
  </sheetData>
  <sheetProtection algorithmName="SHA-512" hashValue="tK25gcCWf3oTZDIuIAivrjavHwoYWww8oKb1EMw7zVszxnB5G46fRi5ElyjEkfLREoulYBRzS7r0fcWl5bha9A==" saltValue="GTNMp1fbwsOpWMKEf5u8Dg==" spinCount="100000" sheet="1" objects="1" scenarios="1"/>
  <sortState ref="Q3:S12">
    <sortCondition descending="1" ref="Q3:Q12"/>
  </sortState>
  <pageMargins left="0.7" right="0.7" top="0.75" bottom="0.75" header="0.3" footer="0.3"/>
  <pageSetup scale="64" fitToHeight="0" orientation="landscape" horizontalDpi="1200" verticalDpi="1200" r:id="rId1"/>
  <rowBreaks count="1" manualBreakCount="1">
    <brk id="39"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pageSetUpPr fitToPage="1"/>
  </sheetPr>
  <dimension ref="A1:K156"/>
  <sheetViews>
    <sheetView zoomScale="85" zoomScaleNormal="85" workbookViewId="0">
      <selection activeCell="H28" sqref="H28"/>
    </sheetView>
  </sheetViews>
  <sheetFormatPr defaultRowHeight="12.75" x14ac:dyDescent="0.2"/>
  <cols>
    <col min="1" max="1" width="7.28515625" style="259" customWidth="1"/>
    <col min="2" max="2" width="42.7109375" style="259" bestFit="1" customWidth="1"/>
    <col min="3" max="3" width="7" style="259" customWidth="1"/>
    <col min="4" max="4" width="6.7109375" style="259" customWidth="1"/>
    <col min="5" max="5" width="9.5703125" style="259" customWidth="1"/>
    <col min="6" max="6" width="15.28515625" style="259" customWidth="1"/>
    <col min="7" max="11" width="20.140625" style="259" customWidth="1"/>
    <col min="12" max="16384" width="9.140625" style="259"/>
  </cols>
  <sheetData>
    <row r="1" spans="1:11" x14ac:dyDescent="0.2">
      <c r="A1" s="520"/>
      <c r="B1" s="520"/>
      <c r="C1" s="725"/>
      <c r="D1" s="726"/>
      <c r="E1" s="725"/>
      <c r="F1" s="725"/>
      <c r="G1" s="725"/>
      <c r="H1" s="725"/>
      <c r="I1" s="725"/>
      <c r="J1" s="725"/>
      <c r="K1" s="725"/>
    </row>
    <row r="2" spans="1:11" ht="15.75" x14ac:dyDescent="0.25">
      <c r="A2" s="520"/>
      <c r="B2" s="520"/>
      <c r="C2" s="520"/>
      <c r="D2" s="523" t="s">
        <v>669</v>
      </c>
      <c r="E2" s="523"/>
      <c r="F2" s="523"/>
      <c r="G2" s="523"/>
      <c r="H2" s="523"/>
      <c r="I2" s="520"/>
      <c r="J2" s="520"/>
      <c r="K2" s="520"/>
    </row>
    <row r="3" spans="1:11" x14ac:dyDescent="0.2">
      <c r="A3" s="520"/>
      <c r="B3" s="525" t="s">
        <v>0</v>
      </c>
      <c r="C3" s="520"/>
      <c r="D3" s="520"/>
      <c r="E3" s="520"/>
      <c r="F3" s="520"/>
      <c r="G3" s="520"/>
      <c r="H3" s="520"/>
      <c r="I3" s="520"/>
      <c r="J3" s="520"/>
      <c r="K3" s="520"/>
    </row>
    <row r="5" spans="1:11" x14ac:dyDescent="0.2">
      <c r="A5" s="520"/>
      <c r="B5" s="526" t="s">
        <v>40</v>
      </c>
      <c r="C5" s="527" t="s">
        <v>229</v>
      </c>
      <c r="D5" s="540"/>
      <c r="E5" s="540"/>
      <c r="F5" s="540"/>
      <c r="G5" s="727"/>
      <c r="H5" s="520"/>
      <c r="I5" s="520"/>
      <c r="J5" s="520"/>
      <c r="K5" s="520"/>
    </row>
    <row r="6" spans="1:11" x14ac:dyDescent="0.2">
      <c r="A6" s="520"/>
      <c r="B6" s="526" t="s">
        <v>3</v>
      </c>
      <c r="C6" s="530" t="s">
        <v>290</v>
      </c>
      <c r="D6" s="531"/>
      <c r="E6" s="531"/>
      <c r="F6" s="531"/>
      <c r="G6" s="532"/>
      <c r="H6" s="520"/>
      <c r="I6" s="520"/>
      <c r="J6" s="520"/>
      <c r="K6" s="520"/>
    </row>
    <row r="7" spans="1:11" x14ac:dyDescent="0.2">
      <c r="A7" s="520"/>
      <c r="B7" s="526" t="s">
        <v>4</v>
      </c>
      <c r="C7" s="728">
        <v>3446</v>
      </c>
      <c r="D7" s="729"/>
      <c r="E7" s="729"/>
      <c r="F7" s="729"/>
      <c r="G7" s="730"/>
      <c r="H7" s="520"/>
      <c r="I7" s="520"/>
      <c r="J7" s="520"/>
      <c r="K7" s="520"/>
    </row>
    <row r="9" spans="1:11" x14ac:dyDescent="0.2">
      <c r="A9" s="520"/>
      <c r="B9" s="526" t="s">
        <v>1</v>
      </c>
      <c r="C9" s="731" t="s">
        <v>291</v>
      </c>
      <c r="D9" s="732"/>
      <c r="E9" s="732"/>
      <c r="F9" s="732"/>
      <c r="G9" s="733"/>
      <c r="H9" s="520"/>
      <c r="I9" s="520"/>
      <c r="J9" s="520"/>
      <c r="K9" s="520"/>
    </row>
    <row r="10" spans="1:11" x14ac:dyDescent="0.2">
      <c r="A10" s="520"/>
      <c r="B10" s="526" t="s">
        <v>2</v>
      </c>
      <c r="C10" s="536" t="s">
        <v>292</v>
      </c>
      <c r="D10" s="734"/>
      <c r="E10" s="734"/>
      <c r="F10" s="734"/>
      <c r="G10" s="735"/>
      <c r="H10" s="520"/>
      <c r="I10" s="520"/>
      <c r="J10" s="520"/>
      <c r="K10" s="520"/>
    </row>
    <row r="11" spans="1:11" x14ac:dyDescent="0.2">
      <c r="A11" s="520"/>
      <c r="B11" s="526" t="s">
        <v>32</v>
      </c>
      <c r="C11" s="527" t="s">
        <v>293</v>
      </c>
      <c r="D11" s="540"/>
      <c r="E11" s="540"/>
      <c r="F11" s="540"/>
      <c r="G11" s="727"/>
      <c r="H11" s="520"/>
      <c r="I11" s="520"/>
      <c r="J11" s="520"/>
      <c r="K11" s="520"/>
    </row>
    <row r="12" spans="1:11" x14ac:dyDescent="0.2">
      <c r="A12" s="520"/>
      <c r="B12" s="526"/>
      <c r="C12" s="526"/>
      <c r="D12" s="526"/>
      <c r="E12" s="526"/>
      <c r="F12" s="526"/>
      <c r="G12" s="526"/>
      <c r="H12" s="520"/>
      <c r="I12" s="520"/>
      <c r="J12" s="520"/>
      <c r="K12" s="520"/>
    </row>
    <row r="13" spans="1:11" x14ac:dyDescent="0.2">
      <c r="A13" s="520"/>
      <c r="B13" s="541"/>
      <c r="C13" s="541"/>
      <c r="D13" s="541"/>
      <c r="E13" s="541"/>
      <c r="F13" s="541"/>
      <c r="G13" s="541"/>
      <c r="H13" s="541"/>
      <c r="I13" s="725"/>
      <c r="J13" s="520"/>
      <c r="K13" s="520"/>
    </row>
    <row r="14" spans="1:11" x14ac:dyDescent="0.2">
      <c r="A14" s="520"/>
      <c r="B14" s="544"/>
      <c r="C14" s="520"/>
      <c r="D14" s="520"/>
      <c r="E14" s="520"/>
      <c r="F14" s="520"/>
      <c r="G14" s="520"/>
      <c r="H14" s="520"/>
      <c r="I14" s="520"/>
      <c r="J14" s="520"/>
      <c r="K14" s="520"/>
    </row>
    <row r="15" spans="1:11" x14ac:dyDescent="0.2">
      <c r="A15" s="520"/>
      <c r="B15" s="544"/>
      <c r="C15" s="520"/>
      <c r="D15" s="520"/>
      <c r="E15" s="520"/>
      <c r="F15" s="520"/>
      <c r="G15" s="520"/>
      <c r="H15" s="520"/>
      <c r="I15" s="520"/>
      <c r="J15" s="520"/>
      <c r="K15" s="520"/>
    </row>
    <row r="16" spans="1:11" ht="25.5" x14ac:dyDescent="0.2">
      <c r="A16" s="736" t="s">
        <v>181</v>
      </c>
      <c r="B16" s="736"/>
      <c r="C16" s="725"/>
      <c r="D16" s="725"/>
      <c r="E16" s="725"/>
      <c r="F16" s="545" t="s">
        <v>9</v>
      </c>
      <c r="G16" s="545" t="s">
        <v>37</v>
      </c>
      <c r="H16" s="545" t="s">
        <v>29</v>
      </c>
      <c r="I16" s="545" t="s">
        <v>30</v>
      </c>
      <c r="J16" s="545" t="s">
        <v>33</v>
      </c>
      <c r="K16" s="545" t="s">
        <v>34</v>
      </c>
    </row>
    <row r="17" spans="1:11" x14ac:dyDescent="0.2">
      <c r="A17" s="546" t="s">
        <v>184</v>
      </c>
      <c r="B17" s="525" t="s">
        <v>182</v>
      </c>
      <c r="C17" s="520"/>
      <c r="D17" s="520"/>
      <c r="E17" s="520"/>
      <c r="F17" s="520"/>
      <c r="G17" s="520"/>
      <c r="H17" s="520"/>
      <c r="I17" s="520"/>
      <c r="J17" s="520"/>
      <c r="K17" s="520"/>
    </row>
    <row r="18" spans="1:11" x14ac:dyDescent="0.2">
      <c r="A18" s="526" t="s">
        <v>185</v>
      </c>
      <c r="B18" s="547" t="s">
        <v>183</v>
      </c>
      <c r="C18" s="520"/>
      <c r="D18" s="520"/>
      <c r="E18" s="520"/>
      <c r="F18" s="101" t="s">
        <v>73</v>
      </c>
      <c r="G18" s="101" t="s">
        <v>73</v>
      </c>
      <c r="H18" s="737">
        <v>13906189.970000001</v>
      </c>
      <c r="I18" s="737">
        <v>0</v>
      </c>
      <c r="J18" s="737">
        <v>11753474.67</v>
      </c>
      <c r="K18" s="737">
        <f>(H18+I18)-J18</f>
        <v>2152715.3000000007</v>
      </c>
    </row>
    <row r="19" spans="1:11" ht="42.75" customHeight="1" x14ac:dyDescent="0.2">
      <c r="A19" s="736" t="s">
        <v>8</v>
      </c>
      <c r="B19" s="736"/>
      <c r="C19" s="725"/>
      <c r="D19" s="725"/>
      <c r="E19" s="725"/>
      <c r="F19" s="545" t="s">
        <v>9</v>
      </c>
      <c r="G19" s="545" t="s">
        <v>37</v>
      </c>
      <c r="H19" s="545" t="s">
        <v>29</v>
      </c>
      <c r="I19" s="545" t="s">
        <v>30</v>
      </c>
      <c r="J19" s="545" t="s">
        <v>33</v>
      </c>
      <c r="K19" s="545" t="s">
        <v>34</v>
      </c>
    </row>
    <row r="20" spans="1:11" x14ac:dyDescent="0.2">
      <c r="A20" s="546" t="s">
        <v>74</v>
      </c>
      <c r="B20" s="525" t="s">
        <v>41</v>
      </c>
      <c r="C20" s="520"/>
      <c r="D20" s="520"/>
      <c r="E20" s="520"/>
      <c r="F20" s="520"/>
      <c r="G20" s="520"/>
      <c r="H20" s="520"/>
      <c r="I20" s="520"/>
      <c r="J20" s="520"/>
      <c r="K20" s="520"/>
    </row>
    <row r="21" spans="1:11" x14ac:dyDescent="0.2">
      <c r="A21" s="526" t="s">
        <v>75</v>
      </c>
      <c r="B21" s="547" t="s">
        <v>42</v>
      </c>
      <c r="C21" s="520"/>
      <c r="D21" s="520"/>
      <c r="E21" s="520"/>
      <c r="F21" s="101">
        <v>14434.5</v>
      </c>
      <c r="G21" s="101">
        <v>304136</v>
      </c>
      <c r="H21" s="737">
        <v>2538503</v>
      </c>
      <c r="I21" s="737">
        <v>1517269</v>
      </c>
      <c r="J21" s="737">
        <v>509022</v>
      </c>
      <c r="K21" s="737">
        <v>3546750</v>
      </c>
    </row>
    <row r="22" spans="1:11" x14ac:dyDescent="0.2">
      <c r="A22" s="526" t="s">
        <v>76</v>
      </c>
      <c r="B22" s="520" t="s">
        <v>6</v>
      </c>
      <c r="C22" s="520"/>
      <c r="D22" s="520"/>
      <c r="E22" s="520"/>
      <c r="F22" s="101">
        <v>189</v>
      </c>
      <c r="G22" s="101">
        <v>1603</v>
      </c>
      <c r="H22" s="737">
        <v>14685</v>
      </c>
      <c r="I22" s="737">
        <v>8797</v>
      </c>
      <c r="J22" s="737">
        <v>3575</v>
      </c>
      <c r="K22" s="737">
        <v>19907</v>
      </c>
    </row>
    <row r="23" spans="1:11" x14ac:dyDescent="0.2">
      <c r="A23" s="526" t="s">
        <v>77</v>
      </c>
      <c r="B23" s="520" t="s">
        <v>43</v>
      </c>
      <c r="C23" s="520"/>
      <c r="D23" s="520"/>
      <c r="E23" s="520"/>
      <c r="F23" s="101">
        <v>0</v>
      </c>
      <c r="G23" s="101">
        <v>0</v>
      </c>
      <c r="H23" s="737">
        <v>0</v>
      </c>
      <c r="I23" s="737">
        <v>0</v>
      </c>
      <c r="J23" s="737">
        <v>0</v>
      </c>
      <c r="K23" s="737">
        <v>0</v>
      </c>
    </row>
    <row r="24" spans="1:11" x14ac:dyDescent="0.2">
      <c r="A24" s="526" t="s">
        <v>78</v>
      </c>
      <c r="B24" s="520" t="s">
        <v>44</v>
      </c>
      <c r="C24" s="520"/>
      <c r="D24" s="520"/>
      <c r="E24" s="520"/>
      <c r="F24" s="101">
        <v>283</v>
      </c>
      <c r="G24" s="101">
        <v>2498</v>
      </c>
      <c r="H24" s="737">
        <v>11438</v>
      </c>
      <c r="I24" s="737">
        <v>6851</v>
      </c>
      <c r="J24" s="737">
        <v>0</v>
      </c>
      <c r="K24" s="737">
        <v>18289</v>
      </c>
    </row>
    <row r="25" spans="1:11" x14ac:dyDescent="0.2">
      <c r="A25" s="526" t="s">
        <v>79</v>
      </c>
      <c r="B25" s="520" t="s">
        <v>5</v>
      </c>
      <c r="C25" s="520"/>
      <c r="D25" s="520"/>
      <c r="E25" s="520"/>
      <c r="F25" s="101">
        <v>0</v>
      </c>
      <c r="G25" s="101">
        <v>0</v>
      </c>
      <c r="H25" s="737">
        <v>0</v>
      </c>
      <c r="I25" s="737">
        <v>0</v>
      </c>
      <c r="J25" s="737">
        <v>0</v>
      </c>
      <c r="K25" s="737">
        <v>0</v>
      </c>
    </row>
    <row r="26" spans="1:11" x14ac:dyDescent="0.2">
      <c r="A26" s="526" t="s">
        <v>80</v>
      </c>
      <c r="B26" s="520" t="s">
        <v>45</v>
      </c>
      <c r="C26" s="520"/>
      <c r="D26" s="520"/>
      <c r="E26" s="520"/>
      <c r="F26" s="101">
        <v>0</v>
      </c>
      <c r="G26" s="101">
        <v>0</v>
      </c>
      <c r="H26" s="737">
        <v>0</v>
      </c>
      <c r="I26" s="737">
        <v>0</v>
      </c>
      <c r="J26" s="737">
        <v>0</v>
      </c>
      <c r="K26" s="737">
        <v>0</v>
      </c>
    </row>
    <row r="27" spans="1:11" x14ac:dyDescent="0.2">
      <c r="A27" s="526" t="s">
        <v>81</v>
      </c>
      <c r="B27" s="520" t="s">
        <v>46</v>
      </c>
      <c r="C27" s="520"/>
      <c r="D27" s="520"/>
      <c r="E27" s="520"/>
      <c r="F27" s="101">
        <v>0</v>
      </c>
      <c r="G27" s="101">
        <v>0</v>
      </c>
      <c r="H27" s="737">
        <v>0</v>
      </c>
      <c r="I27" s="737">
        <v>0</v>
      </c>
      <c r="J27" s="737">
        <v>0</v>
      </c>
      <c r="K27" s="737">
        <v>0</v>
      </c>
    </row>
    <row r="28" spans="1:11" x14ac:dyDescent="0.2">
      <c r="A28" s="526" t="s">
        <v>82</v>
      </c>
      <c r="B28" s="520" t="s">
        <v>47</v>
      </c>
      <c r="C28" s="520"/>
      <c r="D28" s="520"/>
      <c r="E28" s="520"/>
      <c r="F28" s="101">
        <v>0</v>
      </c>
      <c r="G28" s="101">
        <v>1018</v>
      </c>
      <c r="H28" s="737">
        <v>245394</v>
      </c>
      <c r="I28" s="737">
        <v>43189</v>
      </c>
      <c r="J28" s="737">
        <v>47072</v>
      </c>
      <c r="K28" s="737">
        <v>241511</v>
      </c>
    </row>
    <row r="29" spans="1:11" x14ac:dyDescent="0.2">
      <c r="A29" s="526" t="s">
        <v>83</v>
      </c>
      <c r="B29" s="520" t="s">
        <v>48</v>
      </c>
      <c r="C29" s="520"/>
      <c r="D29" s="520"/>
      <c r="E29" s="520"/>
      <c r="F29" s="101">
        <v>5119</v>
      </c>
      <c r="G29" s="101">
        <v>61737</v>
      </c>
      <c r="H29" s="737">
        <v>2688453</v>
      </c>
      <c r="I29" s="737">
        <v>854267</v>
      </c>
      <c r="J29" s="737">
        <v>0</v>
      </c>
      <c r="K29" s="737">
        <v>3542720</v>
      </c>
    </row>
    <row r="30" spans="1:11" x14ac:dyDescent="0.2">
      <c r="A30" s="526" t="s">
        <v>84</v>
      </c>
      <c r="B30" s="738" t="s">
        <v>757</v>
      </c>
      <c r="C30" s="739"/>
      <c r="D30" s="740"/>
      <c r="E30" s="520"/>
      <c r="F30" s="101">
        <v>8476</v>
      </c>
      <c r="G30" s="101">
        <v>22914</v>
      </c>
      <c r="H30" s="737">
        <v>685536</v>
      </c>
      <c r="I30" s="737">
        <v>337906</v>
      </c>
      <c r="J30" s="737">
        <v>76475</v>
      </c>
      <c r="K30" s="737">
        <v>946967</v>
      </c>
    </row>
    <row r="31" spans="1:11" x14ac:dyDescent="0.2">
      <c r="A31" s="526" t="s">
        <v>133</v>
      </c>
      <c r="B31" s="738"/>
      <c r="C31" s="739"/>
      <c r="D31" s="740"/>
      <c r="E31" s="520"/>
      <c r="F31" s="101"/>
      <c r="G31" s="101"/>
      <c r="H31" s="141"/>
      <c r="I31" s="737">
        <v>0</v>
      </c>
      <c r="J31" s="737">
        <v>0</v>
      </c>
      <c r="K31" s="737">
        <v>0</v>
      </c>
    </row>
    <row r="32" spans="1:11" x14ac:dyDescent="0.2">
      <c r="A32" s="526" t="s">
        <v>134</v>
      </c>
      <c r="B32" s="741"/>
      <c r="C32" s="742"/>
      <c r="D32" s="743"/>
      <c r="E32" s="520"/>
      <c r="F32" s="101"/>
      <c r="G32" s="744" t="s">
        <v>85</v>
      </c>
      <c r="H32" s="141"/>
      <c r="I32" s="737">
        <v>0</v>
      </c>
      <c r="J32" s="737">
        <v>0</v>
      </c>
      <c r="K32" s="737">
        <v>0</v>
      </c>
    </row>
    <row r="33" spans="1:11" x14ac:dyDescent="0.2">
      <c r="A33" s="526" t="s">
        <v>135</v>
      </c>
      <c r="B33" s="741"/>
      <c r="C33" s="742"/>
      <c r="D33" s="743"/>
      <c r="E33" s="520"/>
      <c r="F33" s="101"/>
      <c r="G33" s="744" t="s">
        <v>85</v>
      </c>
      <c r="H33" s="141"/>
      <c r="I33" s="737">
        <v>0</v>
      </c>
      <c r="J33" s="737">
        <v>0</v>
      </c>
      <c r="K33" s="737">
        <v>0</v>
      </c>
    </row>
    <row r="34" spans="1:11" x14ac:dyDescent="0.2">
      <c r="A34" s="526" t="s">
        <v>136</v>
      </c>
      <c r="B34" s="738"/>
      <c r="C34" s="739"/>
      <c r="D34" s="740"/>
      <c r="E34" s="520"/>
      <c r="F34" s="101"/>
      <c r="G34" s="744" t="s">
        <v>85</v>
      </c>
      <c r="H34" s="141"/>
      <c r="I34" s="737">
        <v>0</v>
      </c>
      <c r="J34" s="737">
        <v>0</v>
      </c>
      <c r="K34" s="737">
        <v>0</v>
      </c>
    </row>
    <row r="35" spans="1:11" x14ac:dyDescent="0.2">
      <c r="A35" s="520"/>
      <c r="B35" s="520"/>
      <c r="C35" s="520"/>
      <c r="D35" s="520"/>
      <c r="E35" s="520"/>
      <c r="F35" s="520"/>
      <c r="G35" s="520"/>
      <c r="H35" s="520"/>
      <c r="I35" s="520"/>
      <c r="J35" s="520"/>
      <c r="K35" s="554"/>
    </row>
    <row r="36" spans="1:11" x14ac:dyDescent="0.2">
      <c r="A36" s="546" t="s">
        <v>137</v>
      </c>
      <c r="B36" s="525" t="s">
        <v>138</v>
      </c>
      <c r="C36" s="520"/>
      <c r="D36" s="520"/>
      <c r="E36" s="525" t="s">
        <v>7</v>
      </c>
      <c r="F36" s="101">
        <v>28501.5</v>
      </c>
      <c r="G36" s="101">
        <v>393906</v>
      </c>
      <c r="H36" s="105">
        <v>6184009</v>
      </c>
      <c r="I36" s="105">
        <v>2768279</v>
      </c>
      <c r="J36" s="105">
        <v>636144</v>
      </c>
      <c r="K36" s="105">
        <v>8316144</v>
      </c>
    </row>
    <row r="37" spans="1:11" ht="13.5" thickBot="1" x14ac:dyDescent="0.25">
      <c r="A37" s="520"/>
      <c r="B37" s="525"/>
      <c r="C37" s="520"/>
      <c r="D37" s="520"/>
      <c r="E37" s="520"/>
      <c r="F37" s="555"/>
      <c r="G37" s="555"/>
      <c r="H37" s="745"/>
      <c r="I37" s="745"/>
      <c r="J37" s="745"/>
      <c r="K37" s="746"/>
    </row>
    <row r="38" spans="1:11" ht="25.5" x14ac:dyDescent="0.2">
      <c r="A38" s="520"/>
      <c r="B38" s="520"/>
      <c r="C38" s="520"/>
      <c r="D38" s="520"/>
      <c r="E38" s="520"/>
      <c r="F38" s="545" t="s">
        <v>9</v>
      </c>
      <c r="G38" s="545" t="s">
        <v>37</v>
      </c>
      <c r="H38" s="545" t="s">
        <v>29</v>
      </c>
      <c r="I38" s="545" t="s">
        <v>30</v>
      </c>
      <c r="J38" s="545" t="s">
        <v>33</v>
      </c>
      <c r="K38" s="545" t="s">
        <v>34</v>
      </c>
    </row>
    <row r="39" spans="1:11" x14ac:dyDescent="0.2">
      <c r="A39" s="546" t="s">
        <v>86</v>
      </c>
      <c r="B39" s="525" t="s">
        <v>49</v>
      </c>
      <c r="C39" s="520"/>
      <c r="D39" s="520"/>
      <c r="E39" s="520"/>
      <c r="F39" s="520"/>
      <c r="G39" s="520"/>
      <c r="H39" s="520"/>
      <c r="I39" s="520"/>
      <c r="J39" s="520"/>
      <c r="K39" s="520"/>
    </row>
    <row r="40" spans="1:11" x14ac:dyDescent="0.2">
      <c r="A40" s="526" t="s">
        <v>87</v>
      </c>
      <c r="B40" s="520" t="s">
        <v>31</v>
      </c>
      <c r="C40" s="520"/>
      <c r="D40" s="520"/>
      <c r="E40" s="520"/>
      <c r="F40" s="101">
        <v>40.6</v>
      </c>
      <c r="G40" s="101">
        <v>186</v>
      </c>
      <c r="H40" s="737">
        <v>24332457</v>
      </c>
      <c r="I40" s="737">
        <v>14575141</v>
      </c>
      <c r="J40" s="737">
        <v>0</v>
      </c>
      <c r="K40" s="737">
        <v>38907598</v>
      </c>
    </row>
    <row r="41" spans="1:11" x14ac:dyDescent="0.2">
      <c r="A41" s="526" t="s">
        <v>88</v>
      </c>
      <c r="B41" s="558" t="s">
        <v>50</v>
      </c>
      <c r="C41" s="558"/>
      <c r="D41" s="520"/>
      <c r="E41" s="520"/>
      <c r="F41" s="101">
        <v>43435.6</v>
      </c>
      <c r="G41" s="101">
        <v>816</v>
      </c>
      <c r="H41" s="737">
        <v>2918357</v>
      </c>
      <c r="I41" s="737">
        <v>1748096</v>
      </c>
      <c r="J41" s="737">
        <v>0</v>
      </c>
      <c r="K41" s="737">
        <v>4666453</v>
      </c>
    </row>
    <row r="42" spans="1:11" x14ac:dyDescent="0.2">
      <c r="A42" s="526" t="s">
        <v>89</v>
      </c>
      <c r="B42" s="547" t="s">
        <v>11</v>
      </c>
      <c r="C42" s="520"/>
      <c r="D42" s="520"/>
      <c r="E42" s="520"/>
      <c r="F42" s="101">
        <v>24240.6</v>
      </c>
      <c r="G42" s="101">
        <v>1989</v>
      </c>
      <c r="H42" s="737">
        <v>1294061</v>
      </c>
      <c r="I42" s="737">
        <v>775141</v>
      </c>
      <c r="J42" s="737">
        <v>105000</v>
      </c>
      <c r="K42" s="737">
        <v>1964202</v>
      </c>
    </row>
    <row r="43" spans="1:11" x14ac:dyDescent="0.2">
      <c r="A43" s="526" t="s">
        <v>90</v>
      </c>
      <c r="B43" s="560" t="s">
        <v>10</v>
      </c>
      <c r="C43" s="561"/>
      <c r="D43" s="561"/>
      <c r="E43" s="520"/>
      <c r="F43" s="101">
        <v>490</v>
      </c>
      <c r="G43" s="101">
        <v>15</v>
      </c>
      <c r="H43" s="737">
        <v>86498</v>
      </c>
      <c r="I43" s="737">
        <v>51813</v>
      </c>
      <c r="J43" s="737">
        <v>0</v>
      </c>
      <c r="K43" s="737">
        <v>138311</v>
      </c>
    </row>
    <row r="44" spans="1:11" x14ac:dyDescent="0.2">
      <c r="A44" s="526"/>
      <c r="B44" s="560"/>
      <c r="C44" s="561"/>
      <c r="D44" s="561"/>
      <c r="E44" s="520"/>
      <c r="F44" s="747"/>
      <c r="G44" s="747"/>
      <c r="H44" s="748"/>
      <c r="I44" s="748"/>
      <c r="J44" s="748"/>
      <c r="K44" s="748"/>
    </row>
    <row r="45" spans="1:11" x14ac:dyDescent="0.2">
      <c r="A45" s="526"/>
      <c r="B45" s="560"/>
      <c r="C45" s="561"/>
      <c r="D45" s="561"/>
      <c r="E45" s="520"/>
      <c r="F45" s="747"/>
      <c r="G45" s="747"/>
      <c r="H45" s="748"/>
      <c r="I45" s="748"/>
      <c r="J45" s="748"/>
      <c r="K45" s="748"/>
    </row>
    <row r="46" spans="1:11" x14ac:dyDescent="0.2">
      <c r="A46" s="526"/>
      <c r="B46" s="560"/>
      <c r="C46" s="561"/>
      <c r="D46" s="561"/>
      <c r="E46" s="520"/>
      <c r="F46" s="747"/>
      <c r="G46" s="747"/>
      <c r="H46" s="748"/>
      <c r="I46" s="748"/>
      <c r="J46" s="748"/>
      <c r="K46" s="748"/>
    </row>
    <row r="47" spans="1:11" x14ac:dyDescent="0.2">
      <c r="A47" s="526"/>
      <c r="B47" s="560"/>
      <c r="C47" s="561"/>
      <c r="D47" s="561"/>
      <c r="E47" s="520"/>
      <c r="F47" s="747"/>
      <c r="G47" s="747"/>
      <c r="H47" s="748"/>
      <c r="I47" s="748"/>
      <c r="J47" s="748"/>
      <c r="K47" s="748"/>
    </row>
    <row r="49" spans="1:11" x14ac:dyDescent="0.2">
      <c r="A49" s="546" t="s">
        <v>142</v>
      </c>
      <c r="B49" s="525" t="s">
        <v>143</v>
      </c>
      <c r="C49" s="520"/>
      <c r="D49" s="520"/>
      <c r="E49" s="525" t="s">
        <v>7</v>
      </c>
      <c r="F49" s="749">
        <v>68206.799999999988</v>
      </c>
      <c r="G49" s="749">
        <v>3006</v>
      </c>
      <c r="H49" s="105">
        <v>28631373</v>
      </c>
      <c r="I49" s="105">
        <v>17150191</v>
      </c>
      <c r="J49" s="105">
        <v>105000</v>
      </c>
      <c r="K49" s="105">
        <v>45676564</v>
      </c>
    </row>
    <row r="50" spans="1:11" ht="13.5" thickBot="1" x14ac:dyDescent="0.25">
      <c r="A50" s="520"/>
      <c r="B50" s="520"/>
      <c r="C50" s="520"/>
      <c r="D50" s="520"/>
      <c r="E50" s="520"/>
      <c r="F50" s="562"/>
      <c r="G50" s="562"/>
      <c r="H50" s="562"/>
      <c r="I50" s="562"/>
      <c r="J50" s="562"/>
      <c r="K50" s="750"/>
    </row>
    <row r="51" spans="1:11" ht="25.5" x14ac:dyDescent="0.2">
      <c r="A51" s="520"/>
      <c r="B51" s="520"/>
      <c r="C51" s="520"/>
      <c r="D51" s="520"/>
      <c r="E51" s="520"/>
      <c r="F51" s="545" t="s">
        <v>9</v>
      </c>
      <c r="G51" s="545" t="s">
        <v>37</v>
      </c>
      <c r="H51" s="545" t="s">
        <v>29</v>
      </c>
      <c r="I51" s="545" t="s">
        <v>30</v>
      </c>
      <c r="J51" s="545" t="s">
        <v>33</v>
      </c>
      <c r="K51" s="545" t="s">
        <v>34</v>
      </c>
    </row>
    <row r="52" spans="1:11" ht="15.75" customHeight="1" x14ac:dyDescent="0.2">
      <c r="A52" s="546" t="s">
        <v>92</v>
      </c>
      <c r="B52" s="563" t="s">
        <v>38</v>
      </c>
      <c r="C52" s="563"/>
      <c r="D52" s="520"/>
      <c r="E52" s="520"/>
      <c r="F52" s="520"/>
      <c r="G52" s="520"/>
      <c r="H52" s="520"/>
      <c r="I52" s="520"/>
      <c r="J52" s="520"/>
      <c r="K52" s="520"/>
    </row>
    <row r="53" spans="1:11" ht="15" x14ac:dyDescent="0.2">
      <c r="A53" s="526" t="s">
        <v>51</v>
      </c>
      <c r="B53" s="751" t="s">
        <v>294</v>
      </c>
      <c r="C53" s="752"/>
      <c r="D53" s="753"/>
      <c r="E53" s="520"/>
      <c r="F53" s="101">
        <v>0</v>
      </c>
      <c r="G53" s="101">
        <v>0</v>
      </c>
      <c r="H53" s="737">
        <v>1718931</v>
      </c>
      <c r="I53" s="737">
        <v>0</v>
      </c>
      <c r="J53" s="737">
        <v>1072773</v>
      </c>
      <c r="K53" s="737">
        <v>646158</v>
      </c>
    </row>
    <row r="54" spans="1:11" ht="15" x14ac:dyDescent="0.2">
      <c r="A54" s="526" t="s">
        <v>93</v>
      </c>
      <c r="B54" s="754" t="s">
        <v>295</v>
      </c>
      <c r="C54" s="755"/>
      <c r="D54" s="756"/>
      <c r="E54" s="520"/>
      <c r="F54" s="101">
        <v>0</v>
      </c>
      <c r="G54" s="101">
        <v>0</v>
      </c>
      <c r="H54" s="737">
        <v>416218</v>
      </c>
      <c r="I54" s="737">
        <v>0</v>
      </c>
      <c r="J54" s="737">
        <v>0</v>
      </c>
      <c r="K54" s="737">
        <v>416218</v>
      </c>
    </row>
    <row r="55" spans="1:11" ht="15" x14ac:dyDescent="0.2">
      <c r="A55" s="526" t="s">
        <v>94</v>
      </c>
      <c r="B55" s="751" t="s">
        <v>565</v>
      </c>
      <c r="C55" s="752"/>
      <c r="D55" s="753"/>
      <c r="E55" s="520"/>
      <c r="F55" s="101">
        <v>0</v>
      </c>
      <c r="G55" s="101">
        <v>0</v>
      </c>
      <c r="H55" s="737">
        <v>2542571</v>
      </c>
      <c r="I55" s="737">
        <v>0</v>
      </c>
      <c r="J55" s="737">
        <v>0</v>
      </c>
      <c r="K55" s="737">
        <v>2542571</v>
      </c>
    </row>
    <row r="56" spans="1:11" ht="15" x14ac:dyDescent="0.2">
      <c r="A56" s="526" t="s">
        <v>95</v>
      </c>
      <c r="B56" s="751" t="s">
        <v>296</v>
      </c>
      <c r="C56" s="752"/>
      <c r="D56" s="753"/>
      <c r="E56" s="520"/>
      <c r="F56" s="101">
        <v>0</v>
      </c>
      <c r="G56" s="101">
        <v>0</v>
      </c>
      <c r="H56" s="737">
        <v>482344</v>
      </c>
      <c r="I56" s="737">
        <v>0</v>
      </c>
      <c r="J56" s="737">
        <v>0</v>
      </c>
      <c r="K56" s="737">
        <v>482344</v>
      </c>
    </row>
    <row r="57" spans="1:11" x14ac:dyDescent="0.2">
      <c r="A57" s="526" t="s">
        <v>97</v>
      </c>
      <c r="B57" s="578" t="s">
        <v>297</v>
      </c>
      <c r="C57" s="579"/>
      <c r="D57" s="580"/>
      <c r="E57" s="520"/>
      <c r="F57" s="101">
        <v>0</v>
      </c>
      <c r="G57" s="101">
        <v>0</v>
      </c>
      <c r="H57" s="737">
        <v>163391</v>
      </c>
      <c r="I57" s="737">
        <v>0</v>
      </c>
      <c r="J57" s="737">
        <v>0</v>
      </c>
      <c r="K57" s="737">
        <v>163391</v>
      </c>
    </row>
    <row r="58" spans="1:11" x14ac:dyDescent="0.2">
      <c r="A58" s="526" t="s">
        <v>98</v>
      </c>
      <c r="B58" s="578" t="s">
        <v>566</v>
      </c>
      <c r="C58" s="579"/>
      <c r="D58" s="580"/>
      <c r="E58" s="520"/>
      <c r="F58" s="101">
        <v>3113.48</v>
      </c>
      <c r="G58" s="101">
        <v>1006</v>
      </c>
      <c r="H58" s="737">
        <v>160077</v>
      </c>
      <c r="I58" s="737">
        <v>0</v>
      </c>
      <c r="J58" s="737">
        <v>0</v>
      </c>
      <c r="K58" s="737">
        <v>160077</v>
      </c>
    </row>
    <row r="59" spans="1:11" x14ac:dyDescent="0.2">
      <c r="A59" s="526" t="s">
        <v>99</v>
      </c>
      <c r="B59" s="568" t="s">
        <v>299</v>
      </c>
      <c r="C59" s="569"/>
      <c r="D59" s="567"/>
      <c r="E59" s="520"/>
      <c r="F59" s="101">
        <v>42</v>
      </c>
      <c r="G59" s="101">
        <v>0</v>
      </c>
      <c r="H59" s="737">
        <v>108058</v>
      </c>
      <c r="I59" s="737">
        <v>0</v>
      </c>
      <c r="J59" s="737">
        <v>0</v>
      </c>
      <c r="K59" s="737">
        <v>108058</v>
      </c>
    </row>
    <row r="60" spans="1:11" x14ac:dyDescent="0.2">
      <c r="A60" s="526" t="s">
        <v>100</v>
      </c>
      <c r="B60" s="568" t="s">
        <v>298</v>
      </c>
      <c r="C60" s="569"/>
      <c r="D60" s="567"/>
      <c r="E60" s="520"/>
      <c r="F60" s="101">
        <v>0</v>
      </c>
      <c r="G60" s="101">
        <v>0</v>
      </c>
      <c r="H60" s="737">
        <v>1566453</v>
      </c>
      <c r="I60" s="737">
        <v>0</v>
      </c>
      <c r="J60" s="737">
        <v>0</v>
      </c>
      <c r="K60" s="737">
        <v>1566453</v>
      </c>
    </row>
    <row r="61" spans="1:11" x14ac:dyDescent="0.2">
      <c r="A61" s="526"/>
      <c r="B61" s="757"/>
      <c r="C61" s="757"/>
      <c r="D61" s="757"/>
      <c r="E61" s="520"/>
      <c r="F61" s="747"/>
      <c r="G61" s="747"/>
      <c r="H61" s="748"/>
      <c r="I61" s="758"/>
      <c r="J61" s="748"/>
      <c r="K61" s="748"/>
    </row>
    <row r="62" spans="1:11" x14ac:dyDescent="0.2">
      <c r="A62" s="526"/>
      <c r="B62" s="757"/>
      <c r="C62" s="757"/>
      <c r="D62" s="757"/>
      <c r="E62" s="520"/>
      <c r="F62" s="747"/>
      <c r="G62" s="747"/>
      <c r="H62" s="748"/>
      <c r="I62" s="758"/>
      <c r="J62" s="748"/>
      <c r="K62" s="748"/>
    </row>
    <row r="63" spans="1:11" x14ac:dyDescent="0.2">
      <c r="A63" s="526"/>
      <c r="B63" s="520"/>
      <c r="C63" s="520"/>
      <c r="D63" s="520"/>
      <c r="E63" s="520"/>
      <c r="F63" s="520"/>
      <c r="G63" s="520"/>
      <c r="H63" s="520"/>
      <c r="I63" s="143"/>
      <c r="J63" s="520"/>
      <c r="K63" s="520"/>
    </row>
    <row r="64" spans="1:11" x14ac:dyDescent="0.2">
      <c r="A64" s="526" t="s">
        <v>144</v>
      </c>
      <c r="B64" s="525" t="s">
        <v>145</v>
      </c>
      <c r="C64" s="520"/>
      <c r="D64" s="520"/>
      <c r="E64" s="525" t="s">
        <v>7</v>
      </c>
      <c r="F64" s="101">
        <v>3155.48</v>
      </c>
      <c r="G64" s="101">
        <v>1006</v>
      </c>
      <c r="H64" s="105">
        <v>7158043</v>
      </c>
      <c r="I64" s="105">
        <v>0</v>
      </c>
      <c r="J64" s="105">
        <v>1072773</v>
      </c>
      <c r="K64" s="118">
        <f t="shared" ref="K64" si="0">SUM(K53:K62)</f>
        <v>6085270</v>
      </c>
    </row>
    <row r="65" spans="1:11" x14ac:dyDescent="0.2">
      <c r="A65" s="520"/>
      <c r="B65" s="520"/>
      <c r="C65" s="520"/>
      <c r="D65" s="520"/>
      <c r="E65" s="520"/>
      <c r="F65" s="575"/>
      <c r="G65" s="575"/>
      <c r="H65" s="575"/>
      <c r="I65" s="575"/>
      <c r="J65" s="575"/>
      <c r="K65" s="575"/>
    </row>
    <row r="66" spans="1:11" ht="25.5" x14ac:dyDescent="0.2">
      <c r="A66" s="520"/>
      <c r="B66" s="520"/>
      <c r="C66" s="520"/>
      <c r="D66" s="520"/>
      <c r="E66" s="520"/>
      <c r="F66" s="576" t="s">
        <v>9</v>
      </c>
      <c r="G66" s="576" t="s">
        <v>37</v>
      </c>
      <c r="H66" s="576" t="s">
        <v>29</v>
      </c>
      <c r="I66" s="576" t="s">
        <v>30</v>
      </c>
      <c r="J66" s="576" t="s">
        <v>33</v>
      </c>
      <c r="K66" s="576" t="s">
        <v>34</v>
      </c>
    </row>
    <row r="67" spans="1:11" x14ac:dyDescent="0.2">
      <c r="A67" s="546" t="s">
        <v>102</v>
      </c>
      <c r="B67" s="525" t="s">
        <v>12</v>
      </c>
      <c r="C67" s="520"/>
      <c r="D67" s="520"/>
      <c r="E67" s="520"/>
      <c r="F67" s="577"/>
      <c r="G67" s="577"/>
      <c r="H67" s="577"/>
      <c r="I67" s="146"/>
      <c r="J67" s="577"/>
      <c r="K67" s="146"/>
    </row>
    <row r="68" spans="1:11" x14ac:dyDescent="0.2">
      <c r="A68" s="526" t="s">
        <v>103</v>
      </c>
      <c r="B68" s="520" t="s">
        <v>52</v>
      </c>
      <c r="C68" s="520"/>
      <c r="D68" s="520"/>
      <c r="E68" s="520"/>
      <c r="F68" s="101">
        <v>0</v>
      </c>
      <c r="G68" s="101">
        <v>0</v>
      </c>
      <c r="H68" s="737">
        <v>27060</v>
      </c>
      <c r="I68" s="737">
        <v>0</v>
      </c>
      <c r="J68" s="737">
        <v>0</v>
      </c>
      <c r="K68" s="737">
        <v>27060</v>
      </c>
    </row>
    <row r="69" spans="1:11" x14ac:dyDescent="0.2">
      <c r="A69" s="526" t="s">
        <v>104</v>
      </c>
      <c r="B69" s="547" t="s">
        <v>53</v>
      </c>
      <c r="C69" s="520"/>
      <c r="D69" s="520"/>
      <c r="E69" s="520"/>
      <c r="F69" s="101">
        <v>30</v>
      </c>
      <c r="G69" s="101">
        <v>0</v>
      </c>
      <c r="H69" s="737">
        <v>161069</v>
      </c>
      <c r="I69" s="737">
        <v>0</v>
      </c>
      <c r="J69" s="737">
        <v>153809</v>
      </c>
      <c r="K69" s="737">
        <v>7260</v>
      </c>
    </row>
    <row r="70" spans="1:11" x14ac:dyDescent="0.2">
      <c r="A70" s="526" t="s">
        <v>178</v>
      </c>
      <c r="B70" s="578" t="s">
        <v>505</v>
      </c>
      <c r="C70" s="579"/>
      <c r="D70" s="580"/>
      <c r="E70" s="525"/>
      <c r="F70" s="101">
        <v>4989</v>
      </c>
      <c r="G70" s="101">
        <v>0</v>
      </c>
      <c r="H70" s="737">
        <v>215444</v>
      </c>
      <c r="I70" s="737">
        <v>0</v>
      </c>
      <c r="J70" s="737">
        <v>0</v>
      </c>
      <c r="K70" s="737">
        <v>215444</v>
      </c>
    </row>
    <row r="71" spans="1:11" x14ac:dyDescent="0.2">
      <c r="A71" s="526" t="s">
        <v>179</v>
      </c>
      <c r="B71" s="578"/>
      <c r="C71" s="579"/>
      <c r="D71" s="580"/>
      <c r="E71" s="525"/>
      <c r="F71" s="593"/>
      <c r="G71" s="593"/>
      <c r="H71" s="759"/>
      <c r="I71" s="144"/>
      <c r="J71" s="759"/>
      <c r="K71" s="141"/>
    </row>
    <row r="72" spans="1:11" x14ac:dyDescent="0.2">
      <c r="A72" s="526" t="s">
        <v>180</v>
      </c>
      <c r="B72" s="581"/>
      <c r="C72" s="582"/>
      <c r="D72" s="583"/>
      <c r="E72" s="525"/>
      <c r="F72" s="101"/>
      <c r="G72" s="101"/>
      <c r="H72" s="141"/>
      <c r="I72" s="144"/>
      <c r="J72" s="141"/>
      <c r="K72" s="141"/>
    </row>
    <row r="73" spans="1:11" x14ac:dyDescent="0.2">
      <c r="A73" s="526"/>
      <c r="B73" s="547"/>
      <c r="C73" s="520"/>
      <c r="D73" s="520"/>
      <c r="E73" s="525"/>
      <c r="F73" s="584"/>
      <c r="G73" s="584"/>
      <c r="H73" s="146"/>
      <c r="I73" s="146"/>
      <c r="J73" s="146"/>
      <c r="K73" s="146"/>
    </row>
    <row r="74" spans="1:11" x14ac:dyDescent="0.2">
      <c r="A74" s="546" t="s">
        <v>146</v>
      </c>
      <c r="B74" s="525" t="s">
        <v>147</v>
      </c>
      <c r="C74" s="520"/>
      <c r="D74" s="520"/>
      <c r="E74" s="525" t="s">
        <v>7</v>
      </c>
      <c r="F74" s="101">
        <v>5019</v>
      </c>
      <c r="G74" s="101">
        <v>0</v>
      </c>
      <c r="H74" s="252">
        <v>403573</v>
      </c>
      <c r="I74" s="252">
        <v>0</v>
      </c>
      <c r="J74" s="252">
        <v>153809</v>
      </c>
      <c r="K74" s="105">
        <v>249764</v>
      </c>
    </row>
    <row r="75" spans="1:11" ht="41.25" customHeight="1" x14ac:dyDescent="0.2">
      <c r="A75" s="520"/>
      <c r="B75" s="520"/>
      <c r="C75" s="520"/>
      <c r="D75" s="520"/>
      <c r="E75" s="520"/>
      <c r="F75" s="545" t="s">
        <v>9</v>
      </c>
      <c r="G75" s="545" t="s">
        <v>37</v>
      </c>
      <c r="H75" s="545" t="s">
        <v>29</v>
      </c>
      <c r="I75" s="545" t="s">
        <v>30</v>
      </c>
      <c r="J75" s="545" t="s">
        <v>33</v>
      </c>
      <c r="K75" s="545" t="s">
        <v>34</v>
      </c>
    </row>
    <row r="76" spans="1:11" x14ac:dyDescent="0.2">
      <c r="A76" s="546" t="s">
        <v>105</v>
      </c>
      <c r="B76" s="525" t="s">
        <v>106</v>
      </c>
      <c r="C76" s="520"/>
      <c r="D76" s="520"/>
      <c r="E76" s="520"/>
      <c r="F76" s="520"/>
      <c r="G76" s="520"/>
      <c r="H76" s="520"/>
      <c r="I76" s="520"/>
      <c r="J76" s="520"/>
      <c r="K76" s="520"/>
    </row>
    <row r="77" spans="1:11" x14ac:dyDescent="0.2">
      <c r="A77" s="526" t="s">
        <v>107</v>
      </c>
      <c r="B77" s="547" t="s">
        <v>54</v>
      </c>
      <c r="C77" s="520"/>
      <c r="D77" s="520"/>
      <c r="E77" s="520"/>
      <c r="F77" s="101">
        <v>377</v>
      </c>
      <c r="G77" s="101">
        <v>60</v>
      </c>
      <c r="H77" s="737">
        <v>250811</v>
      </c>
      <c r="I77" s="737">
        <v>0</v>
      </c>
      <c r="J77" s="737">
        <v>0</v>
      </c>
      <c r="K77" s="737">
        <v>250811</v>
      </c>
    </row>
    <row r="78" spans="1:11" x14ac:dyDescent="0.2">
      <c r="A78" s="526" t="s">
        <v>108</v>
      </c>
      <c r="B78" s="547" t="s">
        <v>55</v>
      </c>
      <c r="C78" s="520"/>
      <c r="D78" s="520"/>
      <c r="E78" s="520"/>
      <c r="F78" s="101">
        <v>0</v>
      </c>
      <c r="G78" s="101">
        <v>0</v>
      </c>
      <c r="H78" s="737">
        <v>0</v>
      </c>
      <c r="I78" s="737">
        <v>0</v>
      </c>
      <c r="J78" s="737">
        <v>0</v>
      </c>
      <c r="K78" s="737">
        <v>0</v>
      </c>
    </row>
    <row r="79" spans="1:11" x14ac:dyDescent="0.2">
      <c r="A79" s="526" t="s">
        <v>109</v>
      </c>
      <c r="B79" s="547" t="s">
        <v>13</v>
      </c>
      <c r="C79" s="520"/>
      <c r="D79" s="520"/>
      <c r="E79" s="520"/>
      <c r="F79" s="101">
        <v>3759.5</v>
      </c>
      <c r="G79" s="101">
        <v>24030</v>
      </c>
      <c r="H79" s="737">
        <v>561865</v>
      </c>
      <c r="I79" s="737">
        <v>0</v>
      </c>
      <c r="J79" s="737">
        <v>0</v>
      </c>
      <c r="K79" s="737">
        <v>561865</v>
      </c>
    </row>
    <row r="80" spans="1:11" x14ac:dyDescent="0.2">
      <c r="A80" s="526" t="s">
        <v>110</v>
      </c>
      <c r="B80" s="547" t="s">
        <v>56</v>
      </c>
      <c r="C80" s="520"/>
      <c r="D80" s="520"/>
      <c r="E80" s="520"/>
      <c r="F80" s="101">
        <v>0</v>
      </c>
      <c r="G80" s="101">
        <v>0</v>
      </c>
      <c r="H80" s="141">
        <v>0</v>
      </c>
      <c r="I80" s="144">
        <v>0</v>
      </c>
      <c r="J80" s="141">
        <v>0</v>
      </c>
      <c r="K80" s="141">
        <v>0</v>
      </c>
    </row>
    <row r="81" spans="1:11" x14ac:dyDescent="0.2">
      <c r="A81" s="526"/>
      <c r="B81" s="520"/>
      <c r="C81" s="520"/>
      <c r="D81" s="520"/>
      <c r="E81" s="520"/>
      <c r="F81" s="520"/>
      <c r="G81" s="520"/>
      <c r="H81" s="520"/>
      <c r="I81" s="520"/>
      <c r="J81" s="520"/>
      <c r="K81" s="585"/>
    </row>
    <row r="82" spans="1:11" x14ac:dyDescent="0.2">
      <c r="A82" s="526" t="s">
        <v>148</v>
      </c>
      <c r="B82" s="525" t="s">
        <v>149</v>
      </c>
      <c r="C82" s="520"/>
      <c r="D82" s="520"/>
      <c r="E82" s="525" t="s">
        <v>7</v>
      </c>
      <c r="F82" s="101">
        <v>4136.5</v>
      </c>
      <c r="G82" s="101">
        <v>24090</v>
      </c>
      <c r="H82" s="105">
        <v>812676</v>
      </c>
      <c r="I82" s="105">
        <v>0</v>
      </c>
      <c r="J82" s="105">
        <v>0</v>
      </c>
      <c r="K82" s="105">
        <v>812676</v>
      </c>
    </row>
    <row r="83" spans="1:11" ht="13.5" thickBot="1" x14ac:dyDescent="0.25">
      <c r="A83" s="526"/>
      <c r="B83" s="520"/>
      <c r="C83" s="520"/>
      <c r="D83" s="520"/>
      <c r="E83" s="520"/>
      <c r="F83" s="562"/>
      <c r="G83" s="562"/>
      <c r="H83" s="562"/>
      <c r="I83" s="562"/>
      <c r="J83" s="562"/>
      <c r="K83" s="562"/>
    </row>
    <row r="84" spans="1:11" ht="45.75" customHeight="1" x14ac:dyDescent="0.2">
      <c r="A84" s="520"/>
      <c r="B84" s="520"/>
      <c r="C84" s="520"/>
      <c r="D84" s="520"/>
      <c r="E84" s="520"/>
      <c r="F84" s="545" t="s">
        <v>9</v>
      </c>
      <c r="G84" s="545" t="s">
        <v>37</v>
      </c>
      <c r="H84" s="545" t="s">
        <v>29</v>
      </c>
      <c r="I84" s="545" t="s">
        <v>30</v>
      </c>
      <c r="J84" s="545" t="s">
        <v>33</v>
      </c>
      <c r="K84" s="545" t="s">
        <v>34</v>
      </c>
    </row>
    <row r="85" spans="1:11" x14ac:dyDescent="0.2">
      <c r="A85" s="546" t="s">
        <v>111</v>
      </c>
      <c r="B85" s="525" t="s">
        <v>57</v>
      </c>
      <c r="C85" s="520"/>
      <c r="D85" s="520"/>
      <c r="E85" s="520"/>
      <c r="F85" s="520"/>
      <c r="G85" s="520"/>
      <c r="H85" s="520"/>
      <c r="I85" s="520"/>
      <c r="J85" s="520"/>
      <c r="K85" s="520"/>
    </row>
    <row r="86" spans="1:11" x14ac:dyDescent="0.2">
      <c r="A86" s="526" t="s">
        <v>112</v>
      </c>
      <c r="B86" s="547" t="s">
        <v>113</v>
      </c>
      <c r="C86" s="520"/>
      <c r="D86" s="520"/>
      <c r="E86" s="520"/>
      <c r="F86" s="101">
        <v>150</v>
      </c>
      <c r="G86" s="101">
        <v>0</v>
      </c>
      <c r="H86" s="760">
        <v>46517</v>
      </c>
      <c r="I86" s="760">
        <v>27863</v>
      </c>
      <c r="J86" s="760">
        <v>15793</v>
      </c>
      <c r="K86" s="760">
        <v>58587</v>
      </c>
    </row>
    <row r="87" spans="1:11" x14ac:dyDescent="0.2">
      <c r="A87" s="526" t="s">
        <v>114</v>
      </c>
      <c r="B87" s="547" t="s">
        <v>14</v>
      </c>
      <c r="C87" s="520"/>
      <c r="D87" s="520"/>
      <c r="E87" s="520"/>
      <c r="F87" s="101">
        <v>0</v>
      </c>
      <c r="G87" s="101">
        <v>0</v>
      </c>
      <c r="H87" s="760">
        <v>0</v>
      </c>
      <c r="I87" s="761">
        <v>0</v>
      </c>
      <c r="J87" s="760">
        <v>0</v>
      </c>
      <c r="K87" s="760">
        <v>0</v>
      </c>
    </row>
    <row r="88" spans="1:11" x14ac:dyDescent="0.2">
      <c r="A88" s="526" t="s">
        <v>115</v>
      </c>
      <c r="B88" s="547" t="s">
        <v>116</v>
      </c>
      <c r="C88" s="520"/>
      <c r="D88" s="520"/>
      <c r="E88" s="520"/>
      <c r="F88" s="101">
        <v>72</v>
      </c>
      <c r="G88" s="101">
        <v>14</v>
      </c>
      <c r="H88" s="760">
        <v>73607</v>
      </c>
      <c r="I88" s="760">
        <v>44090</v>
      </c>
      <c r="J88" s="760">
        <v>0</v>
      </c>
      <c r="K88" s="760">
        <v>117697</v>
      </c>
    </row>
    <row r="89" spans="1:11" x14ac:dyDescent="0.2">
      <c r="A89" s="526" t="s">
        <v>117</v>
      </c>
      <c r="B89" s="547" t="s">
        <v>58</v>
      </c>
      <c r="C89" s="520"/>
      <c r="D89" s="520"/>
      <c r="E89" s="520"/>
      <c r="F89" s="101">
        <v>0</v>
      </c>
      <c r="G89" s="101">
        <v>0</v>
      </c>
      <c r="H89" s="760">
        <v>0</v>
      </c>
      <c r="I89" s="761">
        <v>0</v>
      </c>
      <c r="J89" s="760">
        <v>0</v>
      </c>
      <c r="K89" s="760">
        <v>0</v>
      </c>
    </row>
    <row r="90" spans="1:11" x14ac:dyDescent="0.2">
      <c r="A90" s="526" t="s">
        <v>118</v>
      </c>
      <c r="B90" s="558" t="s">
        <v>59</v>
      </c>
      <c r="C90" s="558"/>
      <c r="D90" s="520"/>
      <c r="E90" s="520"/>
      <c r="F90" s="101">
        <v>0</v>
      </c>
      <c r="G90" s="101">
        <v>0</v>
      </c>
      <c r="H90" s="760">
        <v>0</v>
      </c>
      <c r="I90" s="761">
        <v>0</v>
      </c>
      <c r="J90" s="760">
        <v>0</v>
      </c>
      <c r="K90" s="760">
        <v>0</v>
      </c>
    </row>
    <row r="91" spans="1:11" x14ac:dyDescent="0.2">
      <c r="A91" s="526" t="s">
        <v>119</v>
      </c>
      <c r="B91" s="547" t="s">
        <v>60</v>
      </c>
      <c r="C91" s="520"/>
      <c r="D91" s="520"/>
      <c r="E91" s="520"/>
      <c r="F91" s="101">
        <v>0</v>
      </c>
      <c r="G91" s="101">
        <v>0</v>
      </c>
      <c r="H91" s="760">
        <v>0</v>
      </c>
      <c r="I91" s="760">
        <v>0</v>
      </c>
      <c r="J91" s="760">
        <v>0</v>
      </c>
      <c r="K91" s="760">
        <v>0</v>
      </c>
    </row>
    <row r="92" spans="1:11" x14ac:dyDescent="0.2">
      <c r="A92" s="526" t="s">
        <v>120</v>
      </c>
      <c r="B92" s="547" t="s">
        <v>121</v>
      </c>
      <c r="C92" s="520"/>
      <c r="D92" s="520"/>
      <c r="E92" s="520"/>
      <c r="F92" s="101">
        <v>0</v>
      </c>
      <c r="G92" s="101">
        <v>0</v>
      </c>
      <c r="H92" s="760">
        <v>0</v>
      </c>
      <c r="I92" s="761">
        <v>0</v>
      </c>
      <c r="J92" s="760">
        <v>0</v>
      </c>
      <c r="K92" s="760">
        <v>0</v>
      </c>
    </row>
    <row r="93" spans="1:11" x14ac:dyDescent="0.2">
      <c r="A93" s="526" t="s">
        <v>122</v>
      </c>
      <c r="B93" s="547" t="s">
        <v>123</v>
      </c>
      <c r="C93" s="520"/>
      <c r="D93" s="520"/>
      <c r="E93" s="520"/>
      <c r="F93" s="101">
        <v>945</v>
      </c>
      <c r="G93" s="101">
        <v>117</v>
      </c>
      <c r="H93" s="760">
        <v>733626</v>
      </c>
      <c r="I93" s="760">
        <v>439442</v>
      </c>
      <c r="J93" s="760">
        <v>0</v>
      </c>
      <c r="K93" s="760">
        <v>1173068</v>
      </c>
    </row>
    <row r="94" spans="1:11" x14ac:dyDescent="0.2">
      <c r="A94" s="526" t="s">
        <v>124</v>
      </c>
      <c r="B94" s="568"/>
      <c r="C94" s="569"/>
      <c r="D94" s="567"/>
      <c r="E94" s="520"/>
      <c r="F94" s="101"/>
      <c r="G94" s="101"/>
      <c r="H94" s="141"/>
      <c r="I94" s="144"/>
      <c r="J94" s="141"/>
      <c r="K94" s="141"/>
    </row>
    <row r="95" spans="1:11" x14ac:dyDescent="0.2">
      <c r="A95" s="526" t="s">
        <v>125</v>
      </c>
      <c r="B95" s="568"/>
      <c r="C95" s="569"/>
      <c r="D95" s="567"/>
      <c r="E95" s="520"/>
      <c r="F95" s="101"/>
      <c r="G95" s="101"/>
      <c r="H95" s="141"/>
      <c r="I95" s="144"/>
      <c r="J95" s="141"/>
      <c r="K95" s="141"/>
    </row>
    <row r="96" spans="1:11" x14ac:dyDescent="0.2">
      <c r="A96" s="526" t="s">
        <v>126</v>
      </c>
      <c r="B96" s="568"/>
      <c r="C96" s="569"/>
      <c r="D96" s="567"/>
      <c r="E96" s="520"/>
      <c r="F96" s="101"/>
      <c r="G96" s="101"/>
      <c r="H96" s="141"/>
      <c r="I96" s="144"/>
      <c r="J96" s="141"/>
      <c r="K96" s="141"/>
    </row>
    <row r="97" spans="1:11" x14ac:dyDescent="0.2">
      <c r="A97" s="526"/>
      <c r="B97" s="547"/>
      <c r="C97" s="520"/>
      <c r="D97" s="520"/>
      <c r="E97" s="520"/>
      <c r="F97" s="520"/>
      <c r="G97" s="520"/>
      <c r="H97" s="520"/>
      <c r="I97" s="520"/>
      <c r="J97" s="520"/>
      <c r="K97" s="520"/>
    </row>
    <row r="98" spans="1:11" x14ac:dyDescent="0.2">
      <c r="A98" s="546" t="s">
        <v>150</v>
      </c>
      <c r="B98" s="525" t="s">
        <v>151</v>
      </c>
      <c r="C98" s="520"/>
      <c r="D98" s="520"/>
      <c r="E98" s="525" t="s">
        <v>7</v>
      </c>
      <c r="F98" s="101">
        <v>1167</v>
      </c>
      <c r="G98" s="101">
        <v>131</v>
      </c>
      <c r="H98" s="105">
        <v>853750</v>
      </c>
      <c r="I98" s="105">
        <v>511395</v>
      </c>
      <c r="J98" s="105">
        <v>15793</v>
      </c>
      <c r="K98" s="105">
        <v>1349352</v>
      </c>
    </row>
    <row r="99" spans="1:11" ht="13.5" thickBot="1" x14ac:dyDescent="0.25">
      <c r="A99" s="520"/>
      <c r="B99" s="525"/>
      <c r="C99" s="520"/>
      <c r="D99" s="520"/>
      <c r="E99" s="520"/>
      <c r="F99" s="562"/>
      <c r="G99" s="562"/>
      <c r="H99" s="562"/>
      <c r="I99" s="562"/>
      <c r="J99" s="562"/>
      <c r="K99" s="562"/>
    </row>
    <row r="100" spans="1:11" ht="25.5" x14ac:dyDescent="0.2">
      <c r="A100" s="520"/>
      <c r="B100" s="520"/>
      <c r="C100" s="520"/>
      <c r="D100" s="520"/>
      <c r="E100" s="520"/>
      <c r="F100" s="545" t="s">
        <v>9</v>
      </c>
      <c r="G100" s="545" t="s">
        <v>37</v>
      </c>
      <c r="H100" s="545" t="s">
        <v>29</v>
      </c>
      <c r="I100" s="545" t="s">
        <v>30</v>
      </c>
      <c r="J100" s="545" t="s">
        <v>33</v>
      </c>
      <c r="K100" s="545" t="s">
        <v>34</v>
      </c>
    </row>
    <row r="101" spans="1:11" x14ac:dyDescent="0.2">
      <c r="A101" s="546" t="s">
        <v>130</v>
      </c>
      <c r="B101" s="525" t="s">
        <v>63</v>
      </c>
      <c r="C101" s="520"/>
      <c r="D101" s="520"/>
      <c r="E101" s="520"/>
      <c r="F101" s="520"/>
      <c r="G101" s="520"/>
      <c r="H101" s="520"/>
      <c r="I101" s="520"/>
      <c r="J101" s="520"/>
      <c r="K101" s="520"/>
    </row>
    <row r="102" spans="1:11" x14ac:dyDescent="0.2">
      <c r="A102" s="526" t="s">
        <v>131</v>
      </c>
      <c r="B102" s="547" t="s">
        <v>152</v>
      </c>
      <c r="C102" s="520"/>
      <c r="D102" s="520"/>
      <c r="E102" s="520"/>
      <c r="F102" s="101">
        <v>3313</v>
      </c>
      <c r="G102" s="101">
        <v>208</v>
      </c>
      <c r="H102" s="737">
        <v>198178</v>
      </c>
      <c r="I102" s="737">
        <v>118709</v>
      </c>
      <c r="J102" s="737">
        <v>0</v>
      </c>
      <c r="K102" s="737">
        <v>316887</v>
      </c>
    </row>
    <row r="103" spans="1:11" x14ac:dyDescent="0.2">
      <c r="A103" s="526" t="s">
        <v>132</v>
      </c>
      <c r="B103" s="762" t="s">
        <v>62</v>
      </c>
      <c r="C103" s="762"/>
      <c r="D103" s="520"/>
      <c r="E103" s="520"/>
      <c r="F103" s="101">
        <v>108</v>
      </c>
      <c r="G103" s="101">
        <v>53</v>
      </c>
      <c r="H103" s="737">
        <v>7753</v>
      </c>
      <c r="I103" s="737">
        <v>4644</v>
      </c>
      <c r="J103" s="737">
        <v>0</v>
      </c>
      <c r="K103" s="737">
        <v>12397</v>
      </c>
    </row>
    <row r="104" spans="1:11" x14ac:dyDescent="0.2">
      <c r="A104" s="526" t="s">
        <v>128</v>
      </c>
      <c r="B104" s="568"/>
      <c r="C104" s="569"/>
      <c r="D104" s="567"/>
      <c r="E104" s="520"/>
      <c r="F104" s="101"/>
      <c r="G104" s="101"/>
      <c r="H104" s="141"/>
      <c r="I104" s="144"/>
      <c r="J104" s="141"/>
      <c r="K104" s="141"/>
    </row>
    <row r="105" spans="1:11" x14ac:dyDescent="0.2">
      <c r="A105" s="526" t="s">
        <v>127</v>
      </c>
      <c r="B105" s="568"/>
      <c r="C105" s="569"/>
      <c r="D105" s="567"/>
      <c r="E105" s="520"/>
      <c r="F105" s="101"/>
      <c r="G105" s="101"/>
      <c r="H105" s="141"/>
      <c r="I105" s="144"/>
      <c r="J105" s="141"/>
      <c r="K105" s="141"/>
    </row>
    <row r="106" spans="1:11" x14ac:dyDescent="0.2">
      <c r="A106" s="526" t="s">
        <v>129</v>
      </c>
      <c r="B106" s="568"/>
      <c r="C106" s="569"/>
      <c r="D106" s="567"/>
      <c r="E106" s="520"/>
      <c r="F106" s="101"/>
      <c r="G106" s="101"/>
      <c r="H106" s="141"/>
      <c r="I106" s="144"/>
      <c r="J106" s="141"/>
      <c r="K106" s="141"/>
    </row>
    <row r="107" spans="1:11" x14ac:dyDescent="0.2">
      <c r="A107" s="520"/>
      <c r="B107" s="525"/>
      <c r="C107" s="520"/>
      <c r="D107" s="520"/>
      <c r="E107" s="520"/>
      <c r="F107" s="520"/>
      <c r="G107" s="520"/>
      <c r="H107" s="520"/>
      <c r="I107" s="520"/>
      <c r="J107" s="520"/>
      <c r="K107" s="520"/>
    </row>
    <row r="108" spans="1:11" x14ac:dyDescent="0.2">
      <c r="A108" s="546" t="s">
        <v>153</v>
      </c>
      <c r="B108" s="586" t="s">
        <v>154</v>
      </c>
      <c r="C108" s="520"/>
      <c r="D108" s="520"/>
      <c r="E108" s="525" t="s">
        <v>7</v>
      </c>
      <c r="F108" s="101">
        <v>3421</v>
      </c>
      <c r="G108" s="101">
        <v>261</v>
      </c>
      <c r="H108" s="105">
        <v>205931</v>
      </c>
      <c r="I108" s="105">
        <v>123353</v>
      </c>
      <c r="J108" s="105">
        <v>0</v>
      </c>
      <c r="K108" s="105">
        <v>329284</v>
      </c>
    </row>
    <row r="109" spans="1:11" ht="13.5" thickBot="1" x14ac:dyDescent="0.25">
      <c r="A109" s="587"/>
      <c r="B109" s="588"/>
      <c r="C109" s="589"/>
      <c r="D109" s="589"/>
      <c r="E109" s="589"/>
      <c r="F109" s="562"/>
      <c r="G109" s="562"/>
      <c r="H109" s="562"/>
      <c r="I109" s="562"/>
      <c r="J109" s="562"/>
      <c r="K109" s="562"/>
    </row>
    <row r="110" spans="1:11" x14ac:dyDescent="0.2">
      <c r="A110" s="546" t="s">
        <v>156</v>
      </c>
      <c r="B110" s="525" t="s">
        <v>39</v>
      </c>
      <c r="C110" s="520"/>
      <c r="D110" s="520"/>
      <c r="E110" s="520"/>
      <c r="F110" s="520"/>
      <c r="G110" s="520"/>
      <c r="H110" s="520"/>
      <c r="I110" s="520"/>
      <c r="J110" s="520"/>
      <c r="K110" s="520"/>
    </row>
    <row r="111" spans="1:11" x14ac:dyDescent="0.2">
      <c r="A111" s="546" t="s">
        <v>155</v>
      </c>
      <c r="B111" s="525" t="s">
        <v>164</v>
      </c>
      <c r="C111" s="520"/>
      <c r="D111" s="520"/>
      <c r="E111" s="525" t="s">
        <v>7</v>
      </c>
      <c r="F111" s="105">
        <v>18957000</v>
      </c>
      <c r="G111" s="520"/>
      <c r="H111" s="520"/>
      <c r="I111" s="520"/>
      <c r="J111" s="520"/>
      <c r="K111" s="520"/>
    </row>
    <row r="112" spans="1:11" x14ac:dyDescent="0.2">
      <c r="A112" s="520"/>
      <c r="B112" s="525"/>
      <c r="C112" s="520"/>
      <c r="D112" s="520"/>
      <c r="E112" s="525"/>
      <c r="F112" s="590"/>
      <c r="G112" s="520"/>
      <c r="H112" s="520"/>
      <c r="I112" s="520"/>
      <c r="J112" s="520"/>
      <c r="K112" s="520"/>
    </row>
    <row r="113" spans="1:6" x14ac:dyDescent="0.2">
      <c r="A113" s="546" t="s">
        <v>170</v>
      </c>
      <c r="B113" s="525" t="s">
        <v>15</v>
      </c>
      <c r="C113" s="520"/>
      <c r="D113" s="520"/>
      <c r="E113" s="520"/>
      <c r="F113" s="520"/>
    </row>
    <row r="114" spans="1:6" x14ac:dyDescent="0.2">
      <c r="A114" s="526" t="s">
        <v>171</v>
      </c>
      <c r="B114" s="547" t="s">
        <v>35</v>
      </c>
      <c r="C114" s="520"/>
      <c r="D114" s="520"/>
      <c r="E114" s="520"/>
      <c r="F114" s="763">
        <v>0.56599999999999995</v>
      </c>
    </row>
    <row r="115" spans="1:6" x14ac:dyDescent="0.2">
      <c r="A115" s="526"/>
      <c r="B115" s="525"/>
      <c r="C115" s="520"/>
      <c r="D115" s="520"/>
      <c r="E115" s="520"/>
      <c r="F115" s="520"/>
    </row>
    <row r="116" spans="1:6" x14ac:dyDescent="0.2">
      <c r="A116" s="526"/>
      <c r="B116" s="525" t="s">
        <v>16</v>
      </c>
      <c r="C116" s="520"/>
      <c r="D116" s="520"/>
      <c r="E116" s="520"/>
      <c r="F116" s="520"/>
    </row>
    <row r="117" spans="1:6" x14ac:dyDescent="0.2">
      <c r="A117" s="526" t="s">
        <v>172</v>
      </c>
      <c r="B117" s="547" t="s">
        <v>17</v>
      </c>
      <c r="C117" s="520"/>
      <c r="D117" s="520"/>
      <c r="E117" s="520"/>
      <c r="F117" s="105">
        <v>569967000</v>
      </c>
    </row>
    <row r="118" spans="1:6" x14ac:dyDescent="0.2">
      <c r="A118" s="526" t="s">
        <v>173</v>
      </c>
      <c r="B118" s="520" t="s">
        <v>18</v>
      </c>
      <c r="C118" s="520"/>
      <c r="D118" s="520"/>
      <c r="E118" s="520"/>
      <c r="F118" s="105">
        <v>58510000</v>
      </c>
    </row>
    <row r="119" spans="1:6" x14ac:dyDescent="0.2">
      <c r="A119" s="526" t="s">
        <v>174</v>
      </c>
      <c r="B119" s="525" t="s">
        <v>19</v>
      </c>
      <c r="C119" s="520"/>
      <c r="D119" s="520"/>
      <c r="E119" s="520"/>
      <c r="F119" s="105">
        <v>628477000</v>
      </c>
    </row>
    <row r="120" spans="1:6" x14ac:dyDescent="0.2">
      <c r="A120" s="526"/>
      <c r="B120" s="525"/>
      <c r="C120" s="520"/>
      <c r="D120" s="520"/>
      <c r="E120" s="520"/>
      <c r="F120" s="764"/>
    </row>
    <row r="121" spans="1:6" x14ac:dyDescent="0.2">
      <c r="A121" s="526" t="s">
        <v>167</v>
      </c>
      <c r="B121" s="525" t="s">
        <v>36</v>
      </c>
      <c r="C121" s="520"/>
      <c r="D121" s="520"/>
      <c r="E121" s="520"/>
      <c r="F121" s="105">
        <v>632548000</v>
      </c>
    </row>
    <row r="122" spans="1:6" x14ac:dyDescent="0.2">
      <c r="A122" s="526"/>
      <c r="B122" s="520"/>
      <c r="C122" s="520"/>
      <c r="D122" s="520"/>
      <c r="E122" s="520"/>
      <c r="F122" s="764"/>
    </row>
    <row r="123" spans="1:6" x14ac:dyDescent="0.2">
      <c r="A123" s="526" t="s">
        <v>175</v>
      </c>
      <c r="B123" s="525" t="s">
        <v>20</v>
      </c>
      <c r="C123" s="520"/>
      <c r="D123" s="520"/>
      <c r="E123" s="520"/>
      <c r="F123" s="105">
        <v>-4071000</v>
      </c>
    </row>
    <row r="124" spans="1:6" x14ac:dyDescent="0.2">
      <c r="A124" s="526"/>
      <c r="B124" s="520"/>
      <c r="C124" s="520"/>
      <c r="D124" s="520"/>
      <c r="E124" s="520"/>
      <c r="F124" s="764"/>
    </row>
    <row r="125" spans="1:6" x14ac:dyDescent="0.2">
      <c r="A125" s="526" t="s">
        <v>176</v>
      </c>
      <c r="B125" s="525" t="s">
        <v>21</v>
      </c>
      <c r="C125" s="520"/>
      <c r="D125" s="520"/>
      <c r="E125" s="520"/>
      <c r="F125" s="105">
        <v>4882000</v>
      </c>
    </row>
    <row r="126" spans="1:6" x14ac:dyDescent="0.2">
      <c r="A126" s="526"/>
      <c r="B126" s="520"/>
      <c r="C126" s="520"/>
      <c r="D126" s="520"/>
      <c r="E126" s="520"/>
      <c r="F126" s="764"/>
    </row>
    <row r="127" spans="1:6" x14ac:dyDescent="0.2">
      <c r="A127" s="526" t="s">
        <v>177</v>
      </c>
      <c r="B127" s="525" t="s">
        <v>22</v>
      </c>
      <c r="C127" s="520"/>
      <c r="D127" s="520"/>
      <c r="E127" s="520"/>
      <c r="F127" s="105">
        <v>811000</v>
      </c>
    </row>
    <row r="128" spans="1:6" x14ac:dyDescent="0.2">
      <c r="A128" s="526"/>
      <c r="B128" s="520"/>
      <c r="C128" s="520"/>
      <c r="D128" s="520"/>
      <c r="E128" s="520"/>
      <c r="F128" s="520"/>
    </row>
    <row r="129" spans="1:11" ht="25.5" x14ac:dyDescent="0.2">
      <c r="A129" s="520"/>
      <c r="B129" s="520"/>
      <c r="C129" s="520"/>
      <c r="D129" s="520"/>
      <c r="E129" s="520"/>
      <c r="F129" s="545" t="s">
        <v>9</v>
      </c>
      <c r="G129" s="545" t="s">
        <v>37</v>
      </c>
      <c r="H129" s="545" t="s">
        <v>29</v>
      </c>
      <c r="I129" s="545" t="s">
        <v>30</v>
      </c>
      <c r="J129" s="545" t="s">
        <v>33</v>
      </c>
      <c r="K129" s="545" t="s">
        <v>34</v>
      </c>
    </row>
    <row r="130" spans="1:11" x14ac:dyDescent="0.2">
      <c r="A130" s="546" t="s">
        <v>157</v>
      </c>
      <c r="B130" s="525" t="s">
        <v>23</v>
      </c>
      <c r="C130" s="520"/>
      <c r="D130" s="520"/>
      <c r="E130" s="520"/>
      <c r="F130" s="520"/>
      <c r="G130" s="520"/>
      <c r="H130" s="520"/>
      <c r="I130" s="520"/>
      <c r="J130" s="520"/>
      <c r="K130" s="520"/>
    </row>
    <row r="131" spans="1:11" x14ac:dyDescent="0.2">
      <c r="A131" s="526" t="s">
        <v>158</v>
      </c>
      <c r="B131" s="520" t="s">
        <v>24</v>
      </c>
      <c r="C131" s="520"/>
      <c r="D131" s="520"/>
      <c r="E131" s="520"/>
      <c r="F131" s="101"/>
      <c r="G131" s="101"/>
      <c r="H131" s="141"/>
      <c r="I131" s="144">
        <v>0</v>
      </c>
      <c r="J131" s="141"/>
      <c r="K131" s="141">
        <v>0</v>
      </c>
    </row>
    <row r="132" spans="1:11" x14ac:dyDescent="0.2">
      <c r="A132" s="526" t="s">
        <v>159</v>
      </c>
      <c r="B132" s="520" t="s">
        <v>25</v>
      </c>
      <c r="C132" s="520"/>
      <c r="D132" s="520"/>
      <c r="E132" s="520"/>
      <c r="F132" s="101"/>
      <c r="G132" s="101"/>
      <c r="H132" s="141"/>
      <c r="I132" s="144">
        <v>0</v>
      </c>
      <c r="J132" s="141"/>
      <c r="K132" s="141">
        <v>0</v>
      </c>
    </row>
    <row r="133" spans="1:11" x14ac:dyDescent="0.2">
      <c r="A133" s="526" t="s">
        <v>160</v>
      </c>
      <c r="B133" s="548"/>
      <c r="C133" s="549"/>
      <c r="D133" s="550"/>
      <c r="E133" s="520"/>
      <c r="F133" s="101"/>
      <c r="G133" s="101"/>
      <c r="H133" s="141"/>
      <c r="I133" s="144">
        <v>0</v>
      </c>
      <c r="J133" s="141"/>
      <c r="K133" s="141">
        <v>0</v>
      </c>
    </row>
    <row r="134" spans="1:11" x14ac:dyDescent="0.2">
      <c r="A134" s="526" t="s">
        <v>161</v>
      </c>
      <c r="B134" s="548"/>
      <c r="C134" s="549"/>
      <c r="D134" s="550"/>
      <c r="E134" s="520"/>
      <c r="F134" s="101"/>
      <c r="G134" s="101"/>
      <c r="H134" s="141"/>
      <c r="I134" s="144">
        <v>0</v>
      </c>
      <c r="J134" s="141"/>
      <c r="K134" s="141">
        <v>0</v>
      </c>
    </row>
    <row r="135" spans="1:11" x14ac:dyDescent="0.2">
      <c r="A135" s="526" t="s">
        <v>162</v>
      </c>
      <c r="B135" s="548"/>
      <c r="C135" s="549"/>
      <c r="D135" s="550"/>
      <c r="E135" s="520"/>
      <c r="F135" s="101"/>
      <c r="G135" s="101"/>
      <c r="H135" s="141"/>
      <c r="I135" s="144">
        <v>0</v>
      </c>
      <c r="J135" s="141"/>
      <c r="K135" s="141">
        <v>0</v>
      </c>
    </row>
    <row r="136" spans="1:11" x14ac:dyDescent="0.2">
      <c r="A136" s="546"/>
      <c r="B136" s="520"/>
      <c r="C136" s="520"/>
      <c r="D136" s="520"/>
      <c r="E136" s="520"/>
      <c r="F136" s="520"/>
      <c r="G136" s="520"/>
      <c r="H136" s="520"/>
      <c r="I136" s="520"/>
      <c r="J136" s="520"/>
      <c r="K136" s="520"/>
    </row>
    <row r="137" spans="1:11" x14ac:dyDescent="0.2">
      <c r="A137" s="546" t="s">
        <v>163</v>
      </c>
      <c r="B137" s="525" t="s">
        <v>27</v>
      </c>
      <c r="C137" s="520"/>
      <c r="D137" s="520"/>
      <c r="E137" s="520"/>
      <c r="F137" s="101">
        <v>0</v>
      </c>
      <c r="G137" s="101">
        <v>0</v>
      </c>
      <c r="H137" s="141">
        <v>0</v>
      </c>
      <c r="I137" s="141">
        <v>0</v>
      </c>
      <c r="J137" s="141">
        <v>0</v>
      </c>
      <c r="K137" s="141">
        <v>0</v>
      </c>
    </row>
    <row r="138" spans="1:11" x14ac:dyDescent="0.2">
      <c r="A138" s="520"/>
      <c r="B138" s="520"/>
      <c r="C138" s="520"/>
      <c r="D138" s="520"/>
      <c r="E138" s="520"/>
      <c r="F138" s="520"/>
      <c r="G138" s="520"/>
      <c r="H138" s="520"/>
      <c r="I138" s="520"/>
      <c r="J138" s="520"/>
      <c r="K138" s="520"/>
    </row>
    <row r="139" spans="1:11" ht="25.5" x14ac:dyDescent="0.2">
      <c r="A139" s="520"/>
      <c r="B139" s="520"/>
      <c r="C139" s="520"/>
      <c r="D139" s="520"/>
      <c r="E139" s="520"/>
      <c r="F139" s="545" t="s">
        <v>9</v>
      </c>
      <c r="G139" s="545" t="s">
        <v>37</v>
      </c>
      <c r="H139" s="545" t="s">
        <v>29</v>
      </c>
      <c r="I139" s="545" t="s">
        <v>30</v>
      </c>
      <c r="J139" s="545" t="s">
        <v>33</v>
      </c>
      <c r="K139" s="545" t="s">
        <v>34</v>
      </c>
    </row>
    <row r="140" spans="1:11" x14ac:dyDescent="0.2">
      <c r="A140" s="546" t="s">
        <v>166</v>
      </c>
      <c r="B140" s="525" t="s">
        <v>26</v>
      </c>
      <c r="C140" s="520"/>
      <c r="D140" s="520"/>
      <c r="E140" s="520"/>
      <c r="F140" s="520"/>
      <c r="G140" s="520"/>
      <c r="H140" s="520"/>
      <c r="I140" s="520"/>
      <c r="J140" s="520"/>
      <c r="K140" s="520"/>
    </row>
    <row r="141" spans="1:11" x14ac:dyDescent="0.2">
      <c r="A141" s="526" t="s">
        <v>137</v>
      </c>
      <c r="B141" s="525" t="s">
        <v>64</v>
      </c>
      <c r="C141" s="520"/>
      <c r="D141" s="520"/>
      <c r="E141" s="520"/>
      <c r="F141" s="593">
        <v>28501.5</v>
      </c>
      <c r="G141" s="593">
        <v>393906</v>
      </c>
      <c r="H141" s="765">
        <v>6184009</v>
      </c>
      <c r="I141" s="765">
        <v>2768279</v>
      </c>
      <c r="J141" s="765">
        <v>636144</v>
      </c>
      <c r="K141" s="765">
        <v>8316144</v>
      </c>
    </row>
    <row r="142" spans="1:11" x14ac:dyDescent="0.2">
      <c r="A142" s="526" t="s">
        <v>142</v>
      </c>
      <c r="B142" s="525" t="s">
        <v>65</v>
      </c>
      <c r="C142" s="520"/>
      <c r="D142" s="520"/>
      <c r="E142" s="520"/>
      <c r="F142" s="593">
        <v>68206.799999999988</v>
      </c>
      <c r="G142" s="593">
        <v>3006</v>
      </c>
      <c r="H142" s="765">
        <v>28631373</v>
      </c>
      <c r="I142" s="765">
        <v>17150191</v>
      </c>
      <c r="J142" s="765">
        <v>105000</v>
      </c>
      <c r="K142" s="765">
        <v>45676564</v>
      </c>
    </row>
    <row r="143" spans="1:11" x14ac:dyDescent="0.2">
      <c r="A143" s="526" t="s">
        <v>144</v>
      </c>
      <c r="B143" s="525" t="s">
        <v>66</v>
      </c>
      <c r="C143" s="520"/>
      <c r="D143" s="520"/>
      <c r="E143" s="520"/>
      <c r="F143" s="593">
        <v>3155.48</v>
      </c>
      <c r="G143" s="593">
        <v>1006</v>
      </c>
      <c r="H143" s="765">
        <v>7158043</v>
      </c>
      <c r="I143" s="765">
        <v>0</v>
      </c>
      <c r="J143" s="765">
        <v>1072773</v>
      </c>
      <c r="K143" s="765">
        <v>6085270</v>
      </c>
    </row>
    <row r="144" spans="1:11" x14ac:dyDescent="0.2">
      <c r="A144" s="526" t="s">
        <v>146</v>
      </c>
      <c r="B144" s="525" t="s">
        <v>67</v>
      </c>
      <c r="C144" s="520"/>
      <c r="D144" s="520"/>
      <c r="E144" s="520"/>
      <c r="F144" s="593">
        <v>5019</v>
      </c>
      <c r="G144" s="593">
        <v>0</v>
      </c>
      <c r="H144" s="765">
        <v>403573</v>
      </c>
      <c r="I144" s="765">
        <v>0</v>
      </c>
      <c r="J144" s="765">
        <v>153809</v>
      </c>
      <c r="K144" s="765">
        <v>249764</v>
      </c>
    </row>
    <row r="145" spans="1:11" x14ac:dyDescent="0.2">
      <c r="A145" s="526" t="s">
        <v>148</v>
      </c>
      <c r="B145" s="525" t="s">
        <v>68</v>
      </c>
      <c r="C145" s="520"/>
      <c r="D145" s="520"/>
      <c r="E145" s="520"/>
      <c r="F145" s="593">
        <v>4136.5</v>
      </c>
      <c r="G145" s="593">
        <v>24090</v>
      </c>
      <c r="H145" s="765">
        <v>812676</v>
      </c>
      <c r="I145" s="765">
        <v>0</v>
      </c>
      <c r="J145" s="765">
        <v>0</v>
      </c>
      <c r="K145" s="765">
        <v>812676</v>
      </c>
    </row>
    <row r="146" spans="1:11" x14ac:dyDescent="0.2">
      <c r="A146" s="526" t="s">
        <v>150</v>
      </c>
      <c r="B146" s="525" t="s">
        <v>69</v>
      </c>
      <c r="C146" s="520"/>
      <c r="D146" s="520"/>
      <c r="E146" s="520"/>
      <c r="F146" s="593">
        <v>1167</v>
      </c>
      <c r="G146" s="593">
        <v>131</v>
      </c>
      <c r="H146" s="765">
        <v>853750</v>
      </c>
      <c r="I146" s="765">
        <v>511395</v>
      </c>
      <c r="J146" s="765">
        <v>15793</v>
      </c>
      <c r="K146" s="765">
        <v>1349352</v>
      </c>
    </row>
    <row r="147" spans="1:11" x14ac:dyDescent="0.2">
      <c r="A147" s="526" t="s">
        <v>153</v>
      </c>
      <c r="B147" s="525" t="s">
        <v>61</v>
      </c>
      <c r="C147" s="520"/>
      <c r="D147" s="520"/>
      <c r="E147" s="520"/>
      <c r="F147" s="101">
        <v>3421</v>
      </c>
      <c r="G147" s="101">
        <v>261</v>
      </c>
      <c r="H147" s="766">
        <v>205931</v>
      </c>
      <c r="I147" s="766">
        <v>123353</v>
      </c>
      <c r="J147" s="766">
        <v>0</v>
      </c>
      <c r="K147" s="766">
        <v>329284</v>
      </c>
    </row>
    <row r="148" spans="1:11" x14ac:dyDescent="0.2">
      <c r="A148" s="526" t="s">
        <v>155</v>
      </c>
      <c r="B148" s="525" t="s">
        <v>70</v>
      </c>
      <c r="C148" s="520"/>
      <c r="D148" s="520"/>
      <c r="E148" s="520"/>
      <c r="F148" s="594" t="s">
        <v>73</v>
      </c>
      <c r="G148" s="594" t="s">
        <v>73</v>
      </c>
      <c r="H148" s="595" t="s">
        <v>73</v>
      </c>
      <c r="I148" s="595" t="s">
        <v>73</v>
      </c>
      <c r="J148" s="595" t="s">
        <v>73</v>
      </c>
      <c r="K148" s="759">
        <v>18957000</v>
      </c>
    </row>
    <row r="149" spans="1:11" x14ac:dyDescent="0.2">
      <c r="A149" s="526" t="s">
        <v>163</v>
      </c>
      <c r="B149" s="525" t="s">
        <v>71</v>
      </c>
      <c r="C149" s="520"/>
      <c r="D149" s="520"/>
      <c r="E149" s="520"/>
      <c r="F149" s="101">
        <v>0</v>
      </c>
      <c r="G149" s="101">
        <v>0</v>
      </c>
      <c r="H149" s="101">
        <v>0</v>
      </c>
      <c r="I149" s="101">
        <v>0</v>
      </c>
      <c r="J149" s="101">
        <v>0</v>
      </c>
      <c r="K149" s="101">
        <v>0</v>
      </c>
    </row>
    <row r="150" spans="1:11" x14ac:dyDescent="0.2">
      <c r="A150" s="526" t="s">
        <v>185</v>
      </c>
      <c r="B150" s="525" t="s">
        <v>183</v>
      </c>
      <c r="C150" s="520"/>
      <c r="D150" s="520"/>
      <c r="E150" s="520"/>
      <c r="F150" s="594" t="s">
        <v>73</v>
      </c>
      <c r="G150" s="594" t="s">
        <v>73</v>
      </c>
      <c r="H150" s="101">
        <v>2182715</v>
      </c>
      <c r="I150" s="101">
        <v>0</v>
      </c>
      <c r="J150" s="101">
        <v>0</v>
      </c>
      <c r="K150" s="101">
        <v>2182715</v>
      </c>
    </row>
    <row r="151" spans="1:11" x14ac:dyDescent="0.2">
      <c r="A151" s="520"/>
      <c r="B151" s="525"/>
      <c r="C151" s="520"/>
      <c r="D151" s="520"/>
      <c r="E151" s="520"/>
      <c r="F151" s="575"/>
      <c r="G151" s="575"/>
      <c r="H151" s="575"/>
      <c r="I151" s="575"/>
      <c r="J151" s="575"/>
      <c r="K151" s="575"/>
    </row>
    <row r="152" spans="1:11" x14ac:dyDescent="0.2">
      <c r="A152" s="546" t="s">
        <v>165</v>
      </c>
      <c r="B152" s="525" t="s">
        <v>26</v>
      </c>
      <c r="C152" s="520"/>
      <c r="D152" s="520"/>
      <c r="E152" s="520"/>
      <c r="F152" s="597">
        <v>113607.27999999998</v>
      </c>
      <c r="G152" s="597">
        <v>422400</v>
      </c>
      <c r="H152" s="766">
        <v>46432070</v>
      </c>
      <c r="I152" s="766">
        <v>20553218</v>
      </c>
      <c r="J152" s="766">
        <v>1983519</v>
      </c>
      <c r="K152" s="766">
        <v>83958769</v>
      </c>
    </row>
    <row r="153" spans="1:11" x14ac:dyDescent="0.2">
      <c r="K153" s="767" t="s">
        <v>85</v>
      </c>
    </row>
    <row r="154" spans="1:11" x14ac:dyDescent="0.2">
      <c r="A154" s="546" t="s">
        <v>168</v>
      </c>
      <c r="B154" s="525" t="s">
        <v>28</v>
      </c>
      <c r="C154" s="520"/>
      <c r="D154" s="520"/>
      <c r="E154" s="520"/>
      <c r="F154" s="102">
        <v>0.13273106388764172</v>
      </c>
      <c r="G154" s="520"/>
      <c r="H154" s="520"/>
      <c r="I154" s="520"/>
      <c r="J154" s="520"/>
      <c r="K154" s="768"/>
    </row>
    <row r="155" spans="1:11" x14ac:dyDescent="0.2">
      <c r="A155" s="546" t="s">
        <v>169</v>
      </c>
      <c r="B155" s="525" t="s">
        <v>72</v>
      </c>
      <c r="C155" s="520"/>
      <c r="D155" s="520"/>
      <c r="E155" s="520"/>
      <c r="F155" s="102">
        <v>103.52499260172627</v>
      </c>
      <c r="G155" s="525"/>
      <c r="H155" s="520"/>
      <c r="I155" s="520"/>
      <c r="J155" s="520"/>
      <c r="K155" s="768"/>
    </row>
    <row r="156" spans="1:11" x14ac:dyDescent="0.2">
      <c r="A156" s="520"/>
      <c r="B156" s="520"/>
      <c r="C156" s="520"/>
      <c r="D156" s="520"/>
      <c r="E156" s="520"/>
      <c r="F156" s="520"/>
      <c r="G156" s="525"/>
      <c r="H156" s="520"/>
      <c r="I156" s="520"/>
      <c r="J156" s="520"/>
      <c r="K156" s="768"/>
    </row>
  </sheetData>
  <sheetProtection algorithmName="SHA-512" hashValue="tCFl/NWI8U3cxwewFz7NXvU7cBNuDT79gkCvK47jiLxGKMhWG6MuNMqkz71qW+lpTTCRAP50I0yQDd8LV//GmA==" saltValue="kaQdfrX/pD3M1zqKbEcz2A==" spinCount="100000" sheet="1" objects="1" scenarios="1"/>
  <mergeCells count="28">
    <mergeCell ref="C11:G11"/>
    <mergeCell ref="B13:H13"/>
    <mergeCell ref="A16:B16"/>
    <mergeCell ref="B90:C90"/>
    <mergeCell ref="B95:D95"/>
    <mergeCell ref="B52:C52"/>
    <mergeCell ref="B60:D60"/>
    <mergeCell ref="C10:G10"/>
    <mergeCell ref="D2:H2"/>
    <mergeCell ref="C5:G5"/>
    <mergeCell ref="C6:G6"/>
    <mergeCell ref="C7:G7"/>
    <mergeCell ref="C9:G9"/>
    <mergeCell ref="B134:D134"/>
    <mergeCell ref="B135:D135"/>
    <mergeCell ref="A19:B19"/>
    <mergeCell ref="B30:D30"/>
    <mergeCell ref="B31:D31"/>
    <mergeCell ref="B34:D34"/>
    <mergeCell ref="B41:C41"/>
    <mergeCell ref="B59:D59"/>
    <mergeCell ref="B106:D106"/>
    <mergeCell ref="B133:D133"/>
    <mergeCell ref="B94:D94"/>
    <mergeCell ref="B105:D105"/>
    <mergeCell ref="B96:D96"/>
    <mergeCell ref="B103:C103"/>
    <mergeCell ref="B104:D104"/>
  </mergeCells>
  <pageMargins left="0.7" right="0.7" top="0.75" bottom="0.75" header="0.3" footer="0.3"/>
  <pageSetup scale="6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K156"/>
  <sheetViews>
    <sheetView zoomScale="85" zoomScaleNormal="85" workbookViewId="0"/>
  </sheetViews>
  <sheetFormatPr defaultRowHeight="18" customHeight="1" x14ac:dyDescent="0.2"/>
  <cols>
    <col min="1" max="1" width="8.28515625" style="769" customWidth="1"/>
    <col min="2" max="2" width="55.42578125" style="614" bestFit="1" customWidth="1"/>
    <col min="3" max="3" width="6.5703125" style="614" customWidth="1"/>
    <col min="4" max="4" width="4.7109375" style="614" customWidth="1"/>
    <col min="5" max="5" width="12.42578125" style="614" customWidth="1"/>
    <col min="6" max="6" width="18.5703125" style="614" customWidth="1"/>
    <col min="7" max="7" width="23.5703125" style="614" customWidth="1"/>
    <col min="8" max="8" width="17.140625" style="774" customWidth="1"/>
    <col min="9" max="9" width="21.140625" style="774" customWidth="1"/>
    <col min="10" max="10" width="19.85546875" style="774" customWidth="1"/>
    <col min="11" max="11" width="19.7109375" style="614" customWidth="1"/>
    <col min="12" max="16384" width="9.140625" style="614"/>
  </cols>
  <sheetData>
    <row r="1" spans="1:11" ht="18" customHeight="1" x14ac:dyDescent="0.25">
      <c r="C1" s="770"/>
      <c r="D1" s="771"/>
      <c r="E1" s="770"/>
      <c r="F1" s="770"/>
      <c r="G1" s="770"/>
      <c r="H1" s="772"/>
      <c r="I1" s="772"/>
      <c r="J1" s="772"/>
      <c r="K1" s="770"/>
    </row>
    <row r="2" spans="1:11" ht="18" customHeight="1" x14ac:dyDescent="0.25">
      <c r="D2" s="773" t="s">
        <v>669</v>
      </c>
      <c r="E2" s="773"/>
      <c r="F2" s="773"/>
      <c r="G2" s="773"/>
      <c r="H2" s="773"/>
    </row>
    <row r="3" spans="1:11" ht="18" customHeight="1" x14ac:dyDescent="0.25">
      <c r="B3" s="775" t="s">
        <v>0</v>
      </c>
    </row>
    <row r="5" spans="1:11" ht="18" customHeight="1" x14ac:dyDescent="0.25">
      <c r="B5" s="776" t="s">
        <v>40</v>
      </c>
      <c r="C5" s="777" t="s">
        <v>363</v>
      </c>
      <c r="D5" s="778"/>
      <c r="E5" s="778"/>
      <c r="F5" s="778"/>
      <c r="G5" s="779"/>
    </row>
    <row r="6" spans="1:11" ht="18" customHeight="1" x14ac:dyDescent="0.25">
      <c r="B6" s="776" t="s">
        <v>3</v>
      </c>
      <c r="C6" s="777">
        <v>210030</v>
      </c>
      <c r="D6" s="778"/>
      <c r="E6" s="778"/>
      <c r="F6" s="778"/>
      <c r="G6" s="779"/>
    </row>
    <row r="7" spans="1:11" ht="18" customHeight="1" x14ac:dyDescent="0.25">
      <c r="B7" s="776" t="s">
        <v>4</v>
      </c>
      <c r="C7" s="401">
        <v>241.06880959172497</v>
      </c>
      <c r="D7" s="402"/>
      <c r="E7" s="402"/>
      <c r="F7" s="402"/>
      <c r="G7" s="402"/>
    </row>
    <row r="8" spans="1:11" s="780" customFormat="1" ht="18" customHeight="1" x14ac:dyDescent="0.25">
      <c r="A8" s="769"/>
      <c r="B8" s="776" t="s">
        <v>1</v>
      </c>
      <c r="C8" s="401" t="s">
        <v>509</v>
      </c>
      <c r="D8" s="402"/>
      <c r="E8" s="402"/>
      <c r="F8" s="402"/>
      <c r="G8" s="402"/>
      <c r="H8" s="774"/>
      <c r="I8" s="774"/>
      <c r="J8" s="774"/>
      <c r="K8" s="614"/>
    </row>
    <row r="9" spans="1:11" s="780" customFormat="1" ht="18" customHeight="1" x14ac:dyDescent="0.25">
      <c r="A9" s="769"/>
      <c r="B9" s="776" t="s">
        <v>2</v>
      </c>
      <c r="C9" s="401" t="s">
        <v>358</v>
      </c>
      <c r="D9" s="402"/>
      <c r="E9" s="402"/>
      <c r="F9" s="402"/>
      <c r="G9" s="402"/>
      <c r="H9" s="774"/>
      <c r="I9" s="774"/>
      <c r="J9" s="774"/>
      <c r="K9" s="614"/>
    </row>
    <row r="10" spans="1:11" s="780" customFormat="1" ht="18" customHeight="1" x14ac:dyDescent="0.25">
      <c r="A10" s="769"/>
      <c r="B10" s="776" t="s">
        <v>32</v>
      </c>
      <c r="C10" s="401" t="s">
        <v>567</v>
      </c>
      <c r="D10" s="402"/>
      <c r="E10" s="402"/>
      <c r="F10" s="402"/>
      <c r="G10" s="402"/>
      <c r="H10" s="774"/>
      <c r="I10" s="774"/>
      <c r="J10" s="774"/>
      <c r="K10" s="614"/>
    </row>
    <row r="11" spans="1:11" s="780" customFormat="1" ht="18" customHeight="1" x14ac:dyDescent="0.25">
      <c r="A11" s="769"/>
      <c r="B11" s="776"/>
      <c r="C11" s="776"/>
      <c r="D11" s="776"/>
      <c r="E11" s="776"/>
      <c r="F11" s="776"/>
      <c r="G11" s="776"/>
      <c r="H11" s="774"/>
      <c r="I11" s="774"/>
      <c r="J11" s="774"/>
      <c r="K11" s="614"/>
    </row>
    <row r="12" spans="1:11" s="780" customFormat="1" ht="24.6" customHeight="1" x14ac:dyDescent="0.2">
      <c r="A12" s="769"/>
      <c r="B12" s="781"/>
      <c r="C12" s="782"/>
      <c r="D12" s="782"/>
      <c r="E12" s="782"/>
      <c r="F12" s="782"/>
      <c r="G12" s="782"/>
      <c r="H12" s="783"/>
      <c r="I12" s="772"/>
      <c r="J12" s="774"/>
      <c r="K12" s="614"/>
    </row>
    <row r="13" spans="1:11" s="780" customFormat="1" ht="18" customHeight="1" x14ac:dyDescent="0.2">
      <c r="A13" s="769"/>
      <c r="B13" s="784"/>
      <c r="C13" s="614"/>
      <c r="D13" s="614"/>
      <c r="E13" s="614"/>
      <c r="F13" s="614"/>
      <c r="G13" s="614"/>
      <c r="H13" s="774"/>
      <c r="I13" s="774"/>
      <c r="J13" s="774"/>
      <c r="K13" s="614"/>
    </row>
    <row r="14" spans="1:11" s="780" customFormat="1" ht="18" customHeight="1" x14ac:dyDescent="0.2">
      <c r="A14" s="769"/>
      <c r="B14" s="784"/>
      <c r="C14" s="614"/>
      <c r="D14" s="614"/>
      <c r="E14" s="614"/>
      <c r="F14" s="614"/>
      <c r="G14" s="614"/>
      <c r="H14" s="774"/>
      <c r="I14" s="774"/>
      <c r="J14" s="774"/>
      <c r="K14" s="614"/>
    </row>
    <row r="15" spans="1:11" s="780" customFormat="1" ht="18" customHeight="1" x14ac:dyDescent="0.2">
      <c r="A15" s="769"/>
      <c r="B15" s="784"/>
      <c r="C15" s="614"/>
      <c r="D15" s="614"/>
      <c r="E15" s="614"/>
      <c r="F15" s="614"/>
      <c r="G15" s="614"/>
      <c r="H15" s="774"/>
      <c r="I15" s="774"/>
      <c r="J15" s="774"/>
      <c r="K15" s="614"/>
    </row>
    <row r="16" spans="1:11" s="780" customFormat="1" ht="45.2" customHeight="1" x14ac:dyDescent="0.25">
      <c r="A16" s="771" t="s">
        <v>181</v>
      </c>
      <c r="B16" s="770"/>
      <c r="C16" s="770"/>
      <c r="D16" s="770"/>
      <c r="E16" s="770"/>
      <c r="F16" s="785" t="s">
        <v>9</v>
      </c>
      <c r="G16" s="785" t="s">
        <v>37</v>
      </c>
      <c r="H16" s="786" t="s">
        <v>29</v>
      </c>
      <c r="I16" s="786" t="s">
        <v>30</v>
      </c>
      <c r="J16" s="786" t="s">
        <v>33</v>
      </c>
      <c r="K16" s="785" t="s">
        <v>34</v>
      </c>
    </row>
    <row r="17" spans="1:11" s="780" customFormat="1" ht="18" customHeight="1" x14ac:dyDescent="0.25">
      <c r="A17" s="773" t="s">
        <v>184</v>
      </c>
      <c r="B17" s="775" t="s">
        <v>182</v>
      </c>
      <c r="C17" s="614"/>
      <c r="D17" s="614"/>
      <c r="E17" s="614"/>
      <c r="F17" s="614"/>
      <c r="G17" s="614"/>
      <c r="H17" s="774"/>
      <c r="I17" s="774"/>
      <c r="J17" s="774"/>
      <c r="K17" s="614"/>
    </row>
    <row r="18" spans="1:11" s="780" customFormat="1" ht="18" customHeight="1" x14ac:dyDescent="0.25">
      <c r="A18" s="776" t="s">
        <v>185</v>
      </c>
      <c r="B18" s="614" t="s">
        <v>183</v>
      </c>
      <c r="C18" s="614"/>
      <c r="D18" s="614"/>
      <c r="E18" s="614"/>
      <c r="F18" s="262" t="s">
        <v>73</v>
      </c>
      <c r="G18" s="262" t="s">
        <v>73</v>
      </c>
      <c r="H18" s="264">
        <v>1189868.4316751563</v>
      </c>
      <c r="I18" s="268">
        <v>0</v>
      </c>
      <c r="J18" s="264">
        <v>1005673.6217730169</v>
      </c>
      <c r="K18" s="263">
        <f>(H18+I18)-J18</f>
        <v>184194.80990213947</v>
      </c>
    </row>
    <row r="19" spans="1:11" s="780" customFormat="1" ht="45.2" customHeight="1" x14ac:dyDescent="0.25">
      <c r="A19" s="771" t="s">
        <v>8</v>
      </c>
      <c r="B19" s="770"/>
      <c r="C19" s="770"/>
      <c r="D19" s="770"/>
      <c r="E19" s="770"/>
      <c r="F19" s="785" t="s">
        <v>9</v>
      </c>
      <c r="G19" s="785" t="s">
        <v>37</v>
      </c>
      <c r="H19" s="786" t="s">
        <v>29</v>
      </c>
      <c r="I19" s="786" t="s">
        <v>30</v>
      </c>
      <c r="J19" s="786" t="s">
        <v>33</v>
      </c>
      <c r="K19" s="785" t="s">
        <v>34</v>
      </c>
    </row>
    <row r="20" spans="1:11" s="780" customFormat="1" ht="18" customHeight="1" x14ac:dyDescent="0.25">
      <c r="A20" s="773" t="s">
        <v>74</v>
      </c>
      <c r="B20" s="775" t="s">
        <v>41</v>
      </c>
      <c r="C20" s="614"/>
      <c r="D20" s="614"/>
      <c r="E20" s="614"/>
      <c r="F20" s="614"/>
      <c r="G20" s="614"/>
      <c r="H20" s="774"/>
      <c r="I20" s="774"/>
      <c r="J20" s="774"/>
      <c r="K20" s="614"/>
    </row>
    <row r="21" spans="1:11" s="780" customFormat="1" ht="18" customHeight="1" x14ac:dyDescent="0.25">
      <c r="A21" s="776" t="s">
        <v>75</v>
      </c>
      <c r="B21" s="614" t="s">
        <v>42</v>
      </c>
      <c r="C21" s="614"/>
      <c r="D21" s="614"/>
      <c r="E21" s="614"/>
      <c r="F21" s="262">
        <v>1106</v>
      </c>
      <c r="G21" s="262">
        <v>1925</v>
      </c>
      <c r="H21" s="262">
        <v>52730.949742202094</v>
      </c>
      <c r="I21" s="262">
        <v>46202.341832799291</v>
      </c>
      <c r="J21" s="262">
        <v>0</v>
      </c>
      <c r="K21" s="263">
        <f t="shared" ref="K21:K34" si="0">(H21+I21)-J21</f>
        <v>98933.291575001378</v>
      </c>
    </row>
    <row r="22" spans="1:11" s="780" customFormat="1" ht="18" customHeight="1" x14ac:dyDescent="0.25">
      <c r="A22" s="776" t="s">
        <v>76</v>
      </c>
      <c r="B22" s="614" t="s">
        <v>6</v>
      </c>
      <c r="C22" s="614"/>
      <c r="D22" s="614"/>
      <c r="E22" s="614"/>
      <c r="F22" s="262">
        <v>0</v>
      </c>
      <c r="G22" s="262">
        <v>0</v>
      </c>
      <c r="H22" s="262">
        <v>0</v>
      </c>
      <c r="I22" s="262">
        <v>0</v>
      </c>
      <c r="J22" s="262">
        <v>0</v>
      </c>
      <c r="K22" s="263">
        <f t="shared" si="0"/>
        <v>0</v>
      </c>
    </row>
    <row r="23" spans="1:11" s="780" customFormat="1" ht="18" customHeight="1" x14ac:dyDescent="0.25">
      <c r="A23" s="776" t="s">
        <v>77</v>
      </c>
      <c r="B23" s="614" t="s">
        <v>43</v>
      </c>
      <c r="C23" s="614"/>
      <c r="D23" s="614"/>
      <c r="E23" s="614"/>
      <c r="F23" s="262">
        <v>0</v>
      </c>
      <c r="G23" s="262">
        <v>0</v>
      </c>
      <c r="H23" s="262">
        <v>0</v>
      </c>
      <c r="I23" s="262">
        <v>0</v>
      </c>
      <c r="J23" s="262">
        <v>0</v>
      </c>
      <c r="K23" s="263">
        <f t="shared" si="0"/>
        <v>0</v>
      </c>
    </row>
    <row r="24" spans="1:11" s="780" customFormat="1" ht="18" customHeight="1" x14ac:dyDescent="0.25">
      <c r="A24" s="776" t="s">
        <v>78</v>
      </c>
      <c r="B24" s="614" t="s">
        <v>44</v>
      </c>
      <c r="C24" s="614"/>
      <c r="D24" s="614"/>
      <c r="E24" s="614"/>
      <c r="F24" s="262">
        <v>0</v>
      </c>
      <c r="G24" s="262">
        <v>0</v>
      </c>
      <c r="H24" s="262">
        <v>0</v>
      </c>
      <c r="I24" s="262">
        <v>0</v>
      </c>
      <c r="J24" s="262">
        <v>0</v>
      </c>
      <c r="K24" s="263">
        <f t="shared" si="0"/>
        <v>0</v>
      </c>
    </row>
    <row r="25" spans="1:11" s="780" customFormat="1" ht="18" customHeight="1" x14ac:dyDescent="0.25">
      <c r="A25" s="776" t="s">
        <v>79</v>
      </c>
      <c r="B25" s="614" t="s">
        <v>5</v>
      </c>
      <c r="C25" s="614"/>
      <c r="D25" s="614"/>
      <c r="E25" s="614"/>
      <c r="F25" s="262">
        <v>182</v>
      </c>
      <c r="G25" s="262">
        <v>188</v>
      </c>
      <c r="H25" s="262">
        <v>7535.4094512484444</v>
      </c>
      <c r="I25" s="262">
        <v>6602.4519759038194</v>
      </c>
      <c r="J25" s="262">
        <v>0</v>
      </c>
      <c r="K25" s="263">
        <f t="shared" si="0"/>
        <v>14137.861427152264</v>
      </c>
    </row>
    <row r="26" spans="1:11" s="780" customFormat="1" ht="18" customHeight="1" x14ac:dyDescent="0.25">
      <c r="A26" s="776" t="s">
        <v>80</v>
      </c>
      <c r="B26" s="614" t="s">
        <v>45</v>
      </c>
      <c r="C26" s="614"/>
      <c r="D26" s="614"/>
      <c r="E26" s="614"/>
      <c r="F26" s="262"/>
      <c r="G26" s="262"/>
      <c r="H26" s="262"/>
      <c r="I26" s="262"/>
      <c r="J26" s="262"/>
      <c r="K26" s="263">
        <f t="shared" si="0"/>
        <v>0</v>
      </c>
    </row>
    <row r="27" spans="1:11" s="780" customFormat="1" ht="18" customHeight="1" x14ac:dyDescent="0.25">
      <c r="A27" s="776" t="s">
        <v>81</v>
      </c>
      <c r="B27" s="614" t="s">
        <v>46</v>
      </c>
      <c r="C27" s="614"/>
      <c r="D27" s="614"/>
      <c r="E27" s="614"/>
      <c r="F27" s="262"/>
      <c r="G27" s="262"/>
      <c r="H27" s="262"/>
      <c r="I27" s="262"/>
      <c r="J27" s="262"/>
      <c r="K27" s="263">
        <f t="shared" si="0"/>
        <v>0</v>
      </c>
    </row>
    <row r="28" spans="1:11" s="780" customFormat="1" ht="18" customHeight="1" x14ac:dyDescent="0.25">
      <c r="A28" s="776" t="s">
        <v>82</v>
      </c>
      <c r="B28" s="614" t="s">
        <v>47</v>
      </c>
      <c r="C28" s="614"/>
      <c r="D28" s="614"/>
      <c r="E28" s="614"/>
      <c r="F28" s="262"/>
      <c r="G28" s="262"/>
      <c r="H28" s="262"/>
      <c r="I28" s="262"/>
      <c r="J28" s="262"/>
      <c r="K28" s="263">
        <f t="shared" si="0"/>
        <v>0</v>
      </c>
    </row>
    <row r="29" spans="1:11" s="780" customFormat="1" ht="18" customHeight="1" x14ac:dyDescent="0.25">
      <c r="A29" s="776" t="s">
        <v>83</v>
      </c>
      <c r="B29" s="614" t="s">
        <v>48</v>
      </c>
      <c r="C29" s="614"/>
      <c r="D29" s="614"/>
      <c r="E29" s="614"/>
      <c r="F29" s="262">
        <v>102</v>
      </c>
      <c r="G29" s="262">
        <v>35</v>
      </c>
      <c r="H29" s="262">
        <v>3886.8778243260513</v>
      </c>
      <c r="I29" s="262">
        <v>3405.6442901143901</v>
      </c>
      <c r="J29" s="262">
        <v>0</v>
      </c>
      <c r="K29" s="263">
        <f t="shared" si="0"/>
        <v>7292.5221144404413</v>
      </c>
    </row>
    <row r="30" spans="1:11" s="780" customFormat="1" ht="18" customHeight="1" x14ac:dyDescent="0.25">
      <c r="A30" s="776" t="s">
        <v>84</v>
      </c>
      <c r="B30" s="787"/>
      <c r="C30" s="788"/>
      <c r="D30" s="789"/>
      <c r="E30" s="614"/>
      <c r="F30" s="262"/>
      <c r="G30" s="262"/>
      <c r="H30" s="262"/>
      <c r="I30" s="262"/>
      <c r="J30" s="262"/>
      <c r="K30" s="263">
        <f t="shared" si="0"/>
        <v>0</v>
      </c>
    </row>
    <row r="31" spans="1:11" s="780" customFormat="1" ht="18" customHeight="1" x14ac:dyDescent="0.25">
      <c r="A31" s="776" t="s">
        <v>133</v>
      </c>
      <c r="B31" s="787"/>
      <c r="C31" s="788"/>
      <c r="D31" s="789"/>
      <c r="E31" s="614"/>
      <c r="F31" s="262"/>
      <c r="G31" s="262"/>
      <c r="H31" s="262"/>
      <c r="I31" s="262"/>
      <c r="J31" s="262"/>
      <c r="K31" s="263">
        <f t="shared" si="0"/>
        <v>0</v>
      </c>
    </row>
    <row r="32" spans="1:11" s="780" customFormat="1" ht="18" customHeight="1" x14ac:dyDescent="0.25">
      <c r="A32" s="776" t="s">
        <v>134</v>
      </c>
      <c r="B32" s="790"/>
      <c r="C32" s="791"/>
      <c r="D32" s="792"/>
      <c r="E32" s="614"/>
      <c r="F32" s="262"/>
      <c r="G32" s="262"/>
      <c r="H32" s="262"/>
      <c r="I32" s="262"/>
      <c r="J32" s="262"/>
      <c r="K32" s="263">
        <f t="shared" si="0"/>
        <v>0</v>
      </c>
    </row>
    <row r="33" spans="1:11" s="780" customFormat="1" ht="18" customHeight="1" x14ac:dyDescent="0.25">
      <c r="A33" s="776" t="s">
        <v>135</v>
      </c>
      <c r="B33" s="790"/>
      <c r="C33" s="791"/>
      <c r="D33" s="792"/>
      <c r="E33" s="614"/>
      <c r="F33" s="262"/>
      <c r="G33" s="262"/>
      <c r="H33" s="262"/>
      <c r="I33" s="262"/>
      <c r="J33" s="262"/>
      <c r="K33" s="263">
        <f t="shared" si="0"/>
        <v>0</v>
      </c>
    </row>
    <row r="34" spans="1:11" s="780" customFormat="1" ht="18" customHeight="1" x14ac:dyDescent="0.25">
      <c r="A34" s="776" t="s">
        <v>136</v>
      </c>
      <c r="B34" s="787"/>
      <c r="C34" s="788"/>
      <c r="D34" s="789"/>
      <c r="E34" s="614"/>
      <c r="F34" s="262"/>
      <c r="G34" s="262" t="s">
        <v>85</v>
      </c>
      <c r="H34" s="264"/>
      <c r="I34" s="268"/>
      <c r="J34" s="264"/>
      <c r="K34" s="263">
        <f t="shared" si="0"/>
        <v>0</v>
      </c>
    </row>
    <row r="35" spans="1:11" s="780" customFormat="1" ht="18" customHeight="1" x14ac:dyDescent="0.2">
      <c r="A35" s="769"/>
      <c r="B35" s="614"/>
      <c r="C35" s="614"/>
      <c r="D35" s="614"/>
      <c r="E35" s="614"/>
      <c r="F35" s="614"/>
      <c r="G35" s="614"/>
      <c r="H35" s="774"/>
      <c r="I35" s="774"/>
      <c r="J35" s="774"/>
      <c r="K35" s="793"/>
    </row>
    <row r="36" spans="1:11" s="780" customFormat="1" ht="18" customHeight="1" x14ac:dyDescent="0.25">
      <c r="A36" s="773" t="s">
        <v>137</v>
      </c>
      <c r="B36" s="775" t="s">
        <v>138</v>
      </c>
      <c r="C36" s="614"/>
      <c r="D36" s="614"/>
      <c r="E36" s="775" t="s">
        <v>7</v>
      </c>
      <c r="F36" s="262">
        <f t="shared" ref="F36:K36" si="1">SUM(F21:F34)</f>
        <v>1390</v>
      </c>
      <c r="G36" s="262">
        <f t="shared" si="1"/>
        <v>2148</v>
      </c>
      <c r="H36" s="264">
        <f t="shared" si="1"/>
        <v>64153.237017776592</v>
      </c>
      <c r="I36" s="264">
        <f t="shared" si="1"/>
        <v>56210.438098817496</v>
      </c>
      <c r="J36" s="264">
        <f t="shared" si="1"/>
        <v>0</v>
      </c>
      <c r="K36" s="263">
        <f t="shared" si="1"/>
        <v>120363.67511659408</v>
      </c>
    </row>
    <row r="37" spans="1:11" s="780" customFormat="1" ht="18" customHeight="1" thickBot="1" x14ac:dyDescent="0.3">
      <c r="A37" s="769"/>
      <c r="B37" s="775"/>
      <c r="C37" s="614"/>
      <c r="D37" s="614"/>
      <c r="E37" s="614"/>
      <c r="F37" s="794"/>
      <c r="G37" s="794"/>
      <c r="H37" s="795"/>
      <c r="I37" s="795"/>
      <c r="J37" s="795"/>
      <c r="K37" s="796"/>
    </row>
    <row r="38" spans="1:11" s="780" customFormat="1" ht="42.75" customHeight="1" x14ac:dyDescent="0.25">
      <c r="A38" s="769"/>
      <c r="B38" s="614"/>
      <c r="C38" s="614"/>
      <c r="D38" s="614"/>
      <c r="E38" s="614"/>
      <c r="F38" s="785" t="s">
        <v>9</v>
      </c>
      <c r="G38" s="785" t="s">
        <v>37</v>
      </c>
      <c r="H38" s="786" t="s">
        <v>29</v>
      </c>
      <c r="I38" s="786" t="s">
        <v>30</v>
      </c>
      <c r="J38" s="786" t="s">
        <v>33</v>
      </c>
      <c r="K38" s="785" t="s">
        <v>34</v>
      </c>
    </row>
    <row r="39" spans="1:11" s="780" customFormat="1" ht="18.75" customHeight="1" x14ac:dyDescent="0.25">
      <c r="A39" s="773" t="s">
        <v>86</v>
      </c>
      <c r="B39" s="775" t="s">
        <v>49</v>
      </c>
      <c r="C39" s="614"/>
      <c r="D39" s="614"/>
      <c r="E39" s="614"/>
      <c r="F39" s="614"/>
      <c r="G39" s="614"/>
      <c r="H39" s="774"/>
      <c r="I39" s="774"/>
      <c r="J39" s="774"/>
      <c r="K39" s="614"/>
    </row>
    <row r="40" spans="1:11" s="780" customFormat="1" ht="18" customHeight="1" x14ac:dyDescent="0.25">
      <c r="A40" s="776" t="s">
        <v>87</v>
      </c>
      <c r="B40" s="614" t="s">
        <v>31</v>
      </c>
      <c r="C40" s="614"/>
      <c r="D40" s="614"/>
      <c r="E40" s="614"/>
      <c r="F40" s="262"/>
      <c r="G40" s="262"/>
      <c r="H40" s="264"/>
      <c r="I40" s="268"/>
      <c r="J40" s="264"/>
      <c r="K40" s="263">
        <f t="shared" ref="K40:K47" si="2">(H40+I40)-J40</f>
        <v>0</v>
      </c>
    </row>
    <row r="41" spans="1:11" s="780" customFormat="1" ht="18" customHeight="1" x14ac:dyDescent="0.25">
      <c r="A41" s="776" t="s">
        <v>88</v>
      </c>
      <c r="B41" s="783" t="s">
        <v>50</v>
      </c>
      <c r="C41" s="783"/>
      <c r="D41" s="614"/>
      <c r="E41" s="614"/>
      <c r="F41" s="262"/>
      <c r="G41" s="262"/>
      <c r="H41" s="264"/>
      <c r="I41" s="268"/>
      <c r="J41" s="264"/>
      <c r="K41" s="263">
        <f t="shared" si="2"/>
        <v>0</v>
      </c>
    </row>
    <row r="42" spans="1:11" s="780" customFormat="1" ht="18" customHeight="1" x14ac:dyDescent="0.25">
      <c r="A42" s="776" t="s">
        <v>89</v>
      </c>
      <c r="B42" s="614" t="s">
        <v>11</v>
      </c>
      <c r="C42" s="614"/>
      <c r="D42" s="614"/>
      <c r="E42" s="614"/>
      <c r="F42" s="262"/>
      <c r="G42" s="262"/>
      <c r="H42" s="264"/>
      <c r="I42" s="268"/>
      <c r="J42" s="264"/>
      <c r="K42" s="263">
        <f t="shared" si="2"/>
        <v>0</v>
      </c>
    </row>
    <row r="43" spans="1:11" s="780" customFormat="1" ht="18" customHeight="1" x14ac:dyDescent="0.25">
      <c r="A43" s="776" t="s">
        <v>90</v>
      </c>
      <c r="B43" s="797" t="s">
        <v>10</v>
      </c>
      <c r="C43" s="797"/>
      <c r="D43" s="797"/>
      <c r="E43" s="614"/>
      <c r="F43" s="262"/>
      <c r="G43" s="262"/>
      <c r="H43" s="262"/>
      <c r="I43" s="262"/>
      <c r="J43" s="262"/>
      <c r="K43" s="263">
        <f t="shared" si="2"/>
        <v>0</v>
      </c>
    </row>
    <row r="44" spans="1:11" s="780" customFormat="1" ht="18" customHeight="1" x14ac:dyDescent="0.25">
      <c r="A44" s="776" t="s">
        <v>91</v>
      </c>
      <c r="B44" s="787"/>
      <c r="C44" s="788"/>
      <c r="D44" s="789"/>
      <c r="E44" s="614"/>
      <c r="F44" s="262"/>
      <c r="G44" s="262"/>
      <c r="H44" s="262"/>
      <c r="I44" s="262"/>
      <c r="J44" s="262"/>
      <c r="K44" s="263">
        <f t="shared" si="2"/>
        <v>0</v>
      </c>
    </row>
    <row r="45" spans="1:11" s="780" customFormat="1" ht="18" customHeight="1" x14ac:dyDescent="0.25">
      <c r="A45" s="776" t="s">
        <v>139</v>
      </c>
      <c r="B45" s="787"/>
      <c r="C45" s="788"/>
      <c r="D45" s="789"/>
      <c r="E45" s="614"/>
      <c r="F45" s="262"/>
      <c r="G45" s="262"/>
      <c r="H45" s="264"/>
      <c r="I45" s="268"/>
      <c r="J45" s="264"/>
      <c r="K45" s="263">
        <f t="shared" si="2"/>
        <v>0</v>
      </c>
    </row>
    <row r="46" spans="1:11" s="780" customFormat="1" ht="18" customHeight="1" x14ac:dyDescent="0.25">
      <c r="A46" s="776" t="s">
        <v>140</v>
      </c>
      <c r="B46" s="787"/>
      <c r="C46" s="788"/>
      <c r="D46" s="789"/>
      <c r="E46" s="614"/>
      <c r="F46" s="262"/>
      <c r="G46" s="262"/>
      <c r="H46" s="264"/>
      <c r="I46" s="268"/>
      <c r="J46" s="264"/>
      <c r="K46" s="263">
        <f t="shared" si="2"/>
        <v>0</v>
      </c>
    </row>
    <row r="47" spans="1:11" s="780" customFormat="1" ht="18" customHeight="1" x14ac:dyDescent="0.25">
      <c r="A47" s="776" t="s">
        <v>141</v>
      </c>
      <c r="B47" s="787"/>
      <c r="C47" s="788"/>
      <c r="D47" s="789"/>
      <c r="E47" s="614"/>
      <c r="F47" s="262"/>
      <c r="G47" s="262"/>
      <c r="H47" s="264"/>
      <c r="I47" s="268"/>
      <c r="J47" s="264"/>
      <c r="K47" s="263">
        <f t="shared" si="2"/>
        <v>0</v>
      </c>
    </row>
    <row r="48" spans="1:11" s="780" customFormat="1" ht="18" customHeight="1" x14ac:dyDescent="0.2">
      <c r="A48" s="769"/>
      <c r="B48" s="614"/>
      <c r="C48" s="614"/>
      <c r="D48" s="614"/>
      <c r="E48" s="614"/>
      <c r="F48" s="614"/>
      <c r="G48" s="614"/>
      <c r="H48" s="774"/>
      <c r="I48" s="774"/>
      <c r="J48" s="774"/>
      <c r="K48" s="614"/>
    </row>
    <row r="49" spans="1:11" ht="18" customHeight="1" x14ac:dyDescent="0.25">
      <c r="A49" s="773" t="s">
        <v>142</v>
      </c>
      <c r="B49" s="775" t="s">
        <v>143</v>
      </c>
      <c r="E49" s="775" t="s">
        <v>7</v>
      </c>
      <c r="F49" s="798">
        <f t="shared" ref="F49:K49" si="3">SUM(F40:F47)</f>
        <v>0</v>
      </c>
      <c r="G49" s="798">
        <f t="shared" si="3"/>
        <v>0</v>
      </c>
      <c r="H49" s="264">
        <f t="shared" si="3"/>
        <v>0</v>
      </c>
      <c r="I49" s="264">
        <f t="shared" si="3"/>
        <v>0</v>
      </c>
      <c r="J49" s="264">
        <f t="shared" si="3"/>
        <v>0</v>
      </c>
      <c r="K49" s="263">
        <f t="shared" si="3"/>
        <v>0</v>
      </c>
    </row>
    <row r="50" spans="1:11" ht="18" customHeight="1" thickBot="1" x14ac:dyDescent="0.25">
      <c r="G50" s="799"/>
      <c r="H50" s="800"/>
      <c r="I50" s="800"/>
      <c r="J50" s="800"/>
      <c r="K50" s="799"/>
    </row>
    <row r="51" spans="1:11" ht="42.75" customHeight="1" x14ac:dyDescent="0.25">
      <c r="F51" s="785" t="s">
        <v>9</v>
      </c>
      <c r="G51" s="785" t="s">
        <v>37</v>
      </c>
      <c r="H51" s="786" t="s">
        <v>29</v>
      </c>
      <c r="I51" s="786" t="s">
        <v>30</v>
      </c>
      <c r="J51" s="786" t="s">
        <v>33</v>
      </c>
      <c r="K51" s="785" t="s">
        <v>34</v>
      </c>
    </row>
    <row r="52" spans="1:11" ht="18" customHeight="1" x14ac:dyDescent="0.25">
      <c r="A52" s="773" t="s">
        <v>92</v>
      </c>
      <c r="B52" s="801" t="s">
        <v>38</v>
      </c>
      <c r="C52" s="802"/>
    </row>
    <row r="53" spans="1:11" ht="18" customHeight="1" x14ac:dyDescent="0.25">
      <c r="A53" s="776" t="s">
        <v>51</v>
      </c>
      <c r="B53" s="790" t="s">
        <v>782</v>
      </c>
      <c r="C53" s="791"/>
      <c r="D53" s="792"/>
      <c r="F53" s="262">
        <v>2631</v>
      </c>
      <c r="G53" s="262">
        <v>462</v>
      </c>
      <c r="H53" s="262">
        <v>100258.58388041021</v>
      </c>
      <c r="I53" s="262">
        <v>87845.589483244723</v>
      </c>
      <c r="J53" s="262">
        <v>0</v>
      </c>
      <c r="K53" s="263">
        <f t="shared" ref="K53:K62" si="4">(H53+I53)-J53</f>
        <v>188104.17336365493</v>
      </c>
    </row>
    <row r="54" spans="1:11" ht="18" customHeight="1" x14ac:dyDescent="0.25">
      <c r="A54" s="776" t="s">
        <v>93</v>
      </c>
      <c r="B54" s="790" t="s">
        <v>364</v>
      </c>
      <c r="C54" s="791"/>
      <c r="D54" s="792"/>
      <c r="F54" s="262"/>
      <c r="G54" s="262"/>
      <c r="H54" s="262">
        <v>1061204</v>
      </c>
      <c r="I54" s="262">
        <f>+H54*F114</f>
        <v>929816.55369453249</v>
      </c>
      <c r="J54" s="264"/>
      <c r="K54" s="263">
        <f t="shared" si="4"/>
        <v>1991020.5536945325</v>
      </c>
    </row>
    <row r="55" spans="1:11" ht="18" customHeight="1" x14ac:dyDescent="0.25">
      <c r="A55" s="776" t="s">
        <v>94</v>
      </c>
      <c r="B55" s="790" t="s">
        <v>365</v>
      </c>
      <c r="C55" s="791"/>
      <c r="D55" s="792"/>
      <c r="F55" s="262">
        <v>10950</v>
      </c>
      <c r="G55" s="262">
        <v>14393</v>
      </c>
      <c r="H55" s="262">
        <v>3078462</v>
      </c>
      <c r="I55" s="262">
        <f t="shared" ref="I55:I60" si="5">H55*F$114</f>
        <v>2697318.2606921741</v>
      </c>
      <c r="J55" s="264">
        <v>2842043.43</v>
      </c>
      <c r="K55" s="263">
        <f t="shared" si="4"/>
        <v>2933736.8306921734</v>
      </c>
    </row>
    <row r="56" spans="1:11" ht="18" customHeight="1" x14ac:dyDescent="0.25">
      <c r="A56" s="776" t="s">
        <v>95</v>
      </c>
      <c r="B56" s="790" t="s">
        <v>366</v>
      </c>
      <c r="C56" s="791"/>
      <c r="D56" s="792"/>
      <c r="F56" s="262"/>
      <c r="G56" s="262"/>
      <c r="H56" s="262">
        <v>329497</v>
      </c>
      <c r="I56" s="262">
        <f t="shared" si="5"/>
        <v>288702.04502874787</v>
      </c>
      <c r="J56" s="264"/>
      <c r="K56" s="263">
        <f t="shared" si="4"/>
        <v>618199.04502874787</v>
      </c>
    </row>
    <row r="57" spans="1:11" ht="18" customHeight="1" x14ac:dyDescent="0.25">
      <c r="A57" s="776" t="s">
        <v>96</v>
      </c>
      <c r="B57" s="790" t="s">
        <v>763</v>
      </c>
      <c r="C57" s="791"/>
      <c r="D57" s="792"/>
      <c r="F57" s="262"/>
      <c r="G57" s="262"/>
      <c r="H57" s="262">
        <v>1415347.5</v>
      </c>
      <c r="I57" s="262">
        <v>483878.01945145807</v>
      </c>
      <c r="J57" s="264"/>
      <c r="K57" s="263">
        <f t="shared" si="4"/>
        <v>1899225.519451458</v>
      </c>
    </row>
    <row r="58" spans="1:11" ht="18" customHeight="1" x14ac:dyDescent="0.25">
      <c r="A58" s="776" t="s">
        <v>97</v>
      </c>
      <c r="B58" s="790" t="s">
        <v>783</v>
      </c>
      <c r="C58" s="791"/>
      <c r="D58" s="792"/>
      <c r="F58" s="262"/>
      <c r="G58" s="262"/>
      <c r="H58" s="262">
        <v>272133.33333333326</v>
      </c>
      <c r="I58" s="262">
        <v>93036.754832333972</v>
      </c>
      <c r="J58" s="264"/>
      <c r="K58" s="263">
        <f t="shared" si="4"/>
        <v>365170.08816566726</v>
      </c>
    </row>
    <row r="59" spans="1:11" ht="18" customHeight="1" x14ac:dyDescent="0.25">
      <c r="A59" s="776" t="s">
        <v>98</v>
      </c>
      <c r="B59" s="790" t="s">
        <v>784</v>
      </c>
      <c r="C59" s="791"/>
      <c r="D59" s="792"/>
      <c r="F59" s="262"/>
      <c r="G59" s="262"/>
      <c r="H59" s="262">
        <v>923841.33333333326</v>
      </c>
      <c r="I59" s="262">
        <v>315842.23285145708</v>
      </c>
      <c r="J59" s="262"/>
      <c r="K59" s="263">
        <f t="shared" si="4"/>
        <v>1239683.5661847903</v>
      </c>
    </row>
    <row r="60" spans="1:11" ht="18" customHeight="1" x14ac:dyDescent="0.25">
      <c r="A60" s="776" t="s">
        <v>99</v>
      </c>
      <c r="B60" s="790" t="s">
        <v>367</v>
      </c>
      <c r="C60" s="791"/>
      <c r="D60" s="792"/>
      <c r="F60" s="262">
        <v>1777.85</v>
      </c>
      <c r="G60" s="262">
        <v>1297</v>
      </c>
      <c r="H60" s="262">
        <v>1155077</v>
      </c>
      <c r="I60" s="262">
        <f t="shared" si="5"/>
        <v>1012067.157108171</v>
      </c>
      <c r="J60" s="264"/>
      <c r="K60" s="263">
        <f t="shared" si="4"/>
        <v>2167144.1571081709</v>
      </c>
    </row>
    <row r="61" spans="1:11" ht="18" customHeight="1" x14ac:dyDescent="0.25">
      <c r="A61" s="776" t="s">
        <v>100</v>
      </c>
      <c r="B61" s="787" t="s">
        <v>785</v>
      </c>
      <c r="C61" s="788"/>
      <c r="D61" s="789"/>
      <c r="F61" s="262"/>
      <c r="G61" s="262"/>
      <c r="H61" s="262">
        <v>53585.166666666664</v>
      </c>
      <c r="I61" s="262">
        <v>18319.659531417521</v>
      </c>
      <c r="J61" s="264"/>
      <c r="K61" s="263">
        <f t="shared" si="4"/>
        <v>71904.826198084193</v>
      </c>
    </row>
    <row r="62" spans="1:11" ht="18" customHeight="1" x14ac:dyDescent="0.25">
      <c r="A62" s="776" t="s">
        <v>101</v>
      </c>
      <c r="B62" s="787" t="s">
        <v>786</v>
      </c>
      <c r="C62" s="788"/>
      <c r="D62" s="789"/>
      <c r="F62" s="262">
        <v>241</v>
      </c>
      <c r="G62" s="262">
        <v>31</v>
      </c>
      <c r="H62" s="262">
        <v>9183.7015261037086</v>
      </c>
      <c r="I62" s="262">
        <v>8046.6693521330199</v>
      </c>
      <c r="J62" s="262">
        <v>15482.21</v>
      </c>
      <c r="K62" s="263">
        <f t="shared" si="4"/>
        <v>1748.1608782367293</v>
      </c>
    </row>
    <row r="63" spans="1:11" ht="18" customHeight="1" x14ac:dyDescent="0.25">
      <c r="A63" s="776"/>
      <c r="I63" s="265"/>
    </row>
    <row r="64" spans="1:11" ht="18" customHeight="1" x14ac:dyDescent="0.25">
      <c r="A64" s="776" t="s">
        <v>144</v>
      </c>
      <c r="B64" s="775" t="s">
        <v>145</v>
      </c>
      <c r="E64" s="775" t="s">
        <v>7</v>
      </c>
      <c r="F64" s="262">
        <f t="shared" ref="F64:K64" si="6">SUM(F53:F62)</f>
        <v>15599.85</v>
      </c>
      <c r="G64" s="262">
        <f t="shared" si="6"/>
        <v>16183</v>
      </c>
      <c r="H64" s="264">
        <f t="shared" si="6"/>
        <v>8398589.6187398471</v>
      </c>
      <c r="I64" s="264">
        <f t="shared" si="6"/>
        <v>5934872.9420256689</v>
      </c>
      <c r="J64" s="264">
        <f t="shared" si="6"/>
        <v>2857525.64</v>
      </c>
      <c r="K64" s="263">
        <f t="shared" si="6"/>
        <v>11475936.920765517</v>
      </c>
    </row>
    <row r="65" spans="1:11" ht="18" customHeight="1" x14ac:dyDescent="0.2">
      <c r="F65" s="803"/>
      <c r="G65" s="803"/>
      <c r="H65" s="804"/>
      <c r="I65" s="804"/>
      <c r="J65" s="804"/>
      <c r="K65" s="803"/>
    </row>
    <row r="66" spans="1:11" ht="42.75" customHeight="1" x14ac:dyDescent="0.25">
      <c r="F66" s="805" t="s">
        <v>9</v>
      </c>
      <c r="G66" s="805" t="s">
        <v>37</v>
      </c>
      <c r="H66" s="806" t="s">
        <v>29</v>
      </c>
      <c r="I66" s="806" t="s">
        <v>30</v>
      </c>
      <c r="J66" s="806" t="s">
        <v>33</v>
      </c>
      <c r="K66" s="805" t="s">
        <v>34</v>
      </c>
    </row>
    <row r="67" spans="1:11" ht="18" customHeight="1" x14ac:dyDescent="0.25">
      <c r="A67" s="773" t="s">
        <v>102</v>
      </c>
      <c r="B67" s="775" t="s">
        <v>12</v>
      </c>
      <c r="F67" s="807"/>
      <c r="G67" s="807"/>
      <c r="H67" s="266"/>
      <c r="I67" s="266"/>
      <c r="J67" s="266"/>
      <c r="K67" s="808"/>
    </row>
    <row r="68" spans="1:11" ht="18" customHeight="1" x14ac:dyDescent="0.25">
      <c r="A68" s="776" t="s">
        <v>103</v>
      </c>
      <c r="B68" s="614" t="s">
        <v>52</v>
      </c>
      <c r="F68" s="267"/>
      <c r="G68" s="267"/>
      <c r="H68" s="264"/>
      <c r="I68" s="268">
        <v>0</v>
      </c>
      <c r="J68" s="264"/>
      <c r="K68" s="263">
        <f>(H68+I68)-J68</f>
        <v>0</v>
      </c>
    </row>
    <row r="69" spans="1:11" ht="18" customHeight="1" x14ac:dyDescent="0.25">
      <c r="A69" s="776" t="s">
        <v>104</v>
      </c>
      <c r="B69" s="614" t="s">
        <v>53</v>
      </c>
      <c r="F69" s="267"/>
      <c r="G69" s="267"/>
      <c r="H69" s="264"/>
      <c r="I69" s="268">
        <v>0</v>
      </c>
      <c r="J69" s="264"/>
      <c r="K69" s="263">
        <f>(H69+I69)-J69</f>
        <v>0</v>
      </c>
    </row>
    <row r="70" spans="1:11" ht="18" customHeight="1" x14ac:dyDescent="0.25">
      <c r="A70" s="776" t="s">
        <v>178</v>
      </c>
      <c r="B70" s="790"/>
      <c r="C70" s="791"/>
      <c r="D70" s="792"/>
      <c r="E70" s="775"/>
      <c r="F70" s="809"/>
      <c r="G70" s="809"/>
      <c r="H70" s="810"/>
      <c r="I70" s="268">
        <v>0</v>
      </c>
      <c r="J70" s="810"/>
      <c r="K70" s="263">
        <f>(H70+I70)-J70</f>
        <v>0</v>
      </c>
    </row>
    <row r="71" spans="1:11" ht="18" customHeight="1" x14ac:dyDescent="0.25">
      <c r="A71" s="776" t="s">
        <v>179</v>
      </c>
      <c r="B71" s="790"/>
      <c r="C71" s="791"/>
      <c r="D71" s="792"/>
      <c r="E71" s="775"/>
      <c r="F71" s="809"/>
      <c r="G71" s="809"/>
      <c r="H71" s="810"/>
      <c r="I71" s="268">
        <v>0</v>
      </c>
      <c r="J71" s="810"/>
      <c r="K71" s="263">
        <f>(H71+I71)-J71</f>
        <v>0</v>
      </c>
    </row>
    <row r="72" spans="1:11" ht="18" customHeight="1" x14ac:dyDescent="0.25">
      <c r="A72" s="776" t="s">
        <v>180</v>
      </c>
      <c r="B72" s="811"/>
      <c r="C72" s="812"/>
      <c r="D72" s="813"/>
      <c r="E72" s="775"/>
      <c r="F72" s="262"/>
      <c r="G72" s="262"/>
      <c r="H72" s="264"/>
      <c r="I72" s="268">
        <v>0</v>
      </c>
      <c r="J72" s="264"/>
      <c r="K72" s="263">
        <f>(H72+I72)-J72</f>
        <v>0</v>
      </c>
    </row>
    <row r="73" spans="1:11" ht="18" customHeight="1" x14ac:dyDescent="0.25">
      <c r="A73" s="776"/>
      <c r="E73" s="775"/>
      <c r="F73" s="814"/>
      <c r="G73" s="814"/>
      <c r="H73" s="266"/>
      <c r="I73" s="266"/>
      <c r="J73" s="266"/>
      <c r="K73" s="808"/>
    </row>
    <row r="74" spans="1:11" ht="18" customHeight="1" x14ac:dyDescent="0.25">
      <c r="A74" s="773" t="s">
        <v>146</v>
      </c>
      <c r="B74" s="775" t="s">
        <v>147</v>
      </c>
      <c r="E74" s="775" t="s">
        <v>7</v>
      </c>
      <c r="F74" s="267">
        <f t="shared" ref="F74:K74" si="7">SUM(F68:F72)</f>
        <v>0</v>
      </c>
      <c r="G74" s="267">
        <f t="shared" si="7"/>
        <v>0</v>
      </c>
      <c r="H74" s="264">
        <f t="shared" si="7"/>
        <v>0</v>
      </c>
      <c r="I74" s="268">
        <f t="shared" si="7"/>
        <v>0</v>
      </c>
      <c r="J74" s="264">
        <f t="shared" si="7"/>
        <v>0</v>
      </c>
      <c r="K74" s="263">
        <f t="shared" si="7"/>
        <v>0</v>
      </c>
    </row>
    <row r="75" spans="1:11" ht="42.75" customHeight="1" x14ac:dyDescent="0.25">
      <c r="F75" s="785" t="s">
        <v>9</v>
      </c>
      <c r="G75" s="785" t="s">
        <v>37</v>
      </c>
      <c r="H75" s="786" t="s">
        <v>29</v>
      </c>
      <c r="I75" s="786" t="s">
        <v>30</v>
      </c>
      <c r="J75" s="786" t="s">
        <v>33</v>
      </c>
      <c r="K75" s="785" t="s">
        <v>34</v>
      </c>
    </row>
    <row r="76" spans="1:11" ht="18" customHeight="1" x14ac:dyDescent="0.25">
      <c r="A76" s="773" t="s">
        <v>105</v>
      </c>
      <c r="B76" s="775" t="s">
        <v>106</v>
      </c>
    </row>
    <row r="77" spans="1:11" ht="18" customHeight="1" x14ac:dyDescent="0.25">
      <c r="A77" s="776" t="s">
        <v>107</v>
      </c>
      <c r="B77" s="614" t="s">
        <v>54</v>
      </c>
      <c r="F77" s="262">
        <v>0</v>
      </c>
      <c r="G77" s="262">
        <v>0</v>
      </c>
      <c r="H77" s="262">
        <v>5000</v>
      </c>
      <c r="I77" s="262">
        <v>4380.951040961646</v>
      </c>
      <c r="J77" s="262">
        <v>0</v>
      </c>
      <c r="K77" s="263">
        <f>(H77+I77)-J77</f>
        <v>9380.951040961645</v>
      </c>
    </row>
    <row r="78" spans="1:11" ht="18" customHeight="1" x14ac:dyDescent="0.25">
      <c r="A78" s="776" t="s">
        <v>108</v>
      </c>
      <c r="B78" s="614" t="s">
        <v>55</v>
      </c>
      <c r="F78" s="262">
        <v>0</v>
      </c>
      <c r="G78" s="262">
        <v>0</v>
      </c>
      <c r="H78" s="262">
        <v>0</v>
      </c>
      <c r="I78" s="262">
        <v>0</v>
      </c>
      <c r="J78" s="262">
        <v>0</v>
      </c>
      <c r="K78" s="263">
        <f>(H78+I78)-J78</f>
        <v>0</v>
      </c>
    </row>
    <row r="79" spans="1:11" ht="18" customHeight="1" x14ac:dyDescent="0.25">
      <c r="A79" s="776" t="s">
        <v>109</v>
      </c>
      <c r="B79" s="614" t="s">
        <v>13</v>
      </c>
      <c r="F79" s="262">
        <v>0</v>
      </c>
      <c r="G79" s="262">
        <v>0</v>
      </c>
      <c r="H79" s="262">
        <v>0</v>
      </c>
      <c r="I79" s="262">
        <v>0</v>
      </c>
      <c r="J79" s="262">
        <v>0</v>
      </c>
      <c r="K79" s="263">
        <f>(H79+I79)-J79</f>
        <v>0</v>
      </c>
    </row>
    <row r="80" spans="1:11" ht="18" customHeight="1" x14ac:dyDescent="0.25">
      <c r="A80" s="776" t="s">
        <v>110</v>
      </c>
      <c r="B80" s="614" t="s">
        <v>56</v>
      </c>
      <c r="F80" s="262"/>
      <c r="G80" s="262"/>
      <c r="H80" s="264"/>
      <c r="I80" s="268">
        <v>0</v>
      </c>
      <c r="J80" s="264"/>
      <c r="K80" s="263">
        <f>(H80+I80)-J80</f>
        <v>0</v>
      </c>
    </row>
    <row r="81" spans="1:11" s="780" customFormat="1" ht="18" customHeight="1" x14ac:dyDescent="0.25">
      <c r="A81" s="776"/>
      <c r="B81" s="614"/>
      <c r="C81" s="614"/>
      <c r="D81" s="614"/>
      <c r="E81" s="614"/>
      <c r="F81" s="614"/>
      <c r="G81" s="614"/>
      <c r="H81" s="774"/>
      <c r="I81" s="774"/>
      <c r="J81" s="774"/>
      <c r="K81" s="815"/>
    </row>
    <row r="82" spans="1:11" s="780" customFormat="1" ht="18" customHeight="1" x14ac:dyDescent="0.25">
      <c r="A82" s="776" t="s">
        <v>148</v>
      </c>
      <c r="B82" s="775" t="s">
        <v>149</v>
      </c>
      <c r="C82" s="614"/>
      <c r="D82" s="614"/>
      <c r="E82" s="775" t="s">
        <v>7</v>
      </c>
      <c r="F82" s="267">
        <f t="shared" ref="F82:K82" si="8">SUM(F77:F80)</f>
        <v>0</v>
      </c>
      <c r="G82" s="267">
        <f t="shared" si="8"/>
        <v>0</v>
      </c>
      <c r="H82" s="264">
        <f t="shared" si="8"/>
        <v>5000</v>
      </c>
      <c r="I82" s="264">
        <f t="shared" si="8"/>
        <v>4380.951040961646</v>
      </c>
      <c r="J82" s="264">
        <f t="shared" si="8"/>
        <v>0</v>
      </c>
      <c r="K82" s="263">
        <f t="shared" si="8"/>
        <v>9380.951040961645</v>
      </c>
    </row>
    <row r="83" spans="1:11" s="780" customFormat="1" ht="18" customHeight="1" thickBot="1" x14ac:dyDescent="0.3">
      <c r="A83" s="776"/>
      <c r="B83" s="614"/>
      <c r="C83" s="614"/>
      <c r="D83" s="614"/>
      <c r="E83" s="614"/>
      <c r="F83" s="799"/>
      <c r="G83" s="799"/>
      <c r="H83" s="800"/>
      <c r="I83" s="800"/>
      <c r="J83" s="800"/>
      <c r="K83" s="799"/>
    </row>
    <row r="84" spans="1:11" s="780" customFormat="1" ht="42.75" customHeight="1" x14ac:dyDescent="0.25">
      <c r="A84" s="769"/>
      <c r="B84" s="614"/>
      <c r="C84" s="614"/>
      <c r="D84" s="614"/>
      <c r="E84" s="614"/>
      <c r="F84" s="785" t="s">
        <v>9</v>
      </c>
      <c r="G84" s="785" t="s">
        <v>37</v>
      </c>
      <c r="H84" s="786" t="s">
        <v>29</v>
      </c>
      <c r="I84" s="786" t="s">
        <v>30</v>
      </c>
      <c r="J84" s="786" t="s">
        <v>33</v>
      </c>
      <c r="K84" s="785" t="s">
        <v>34</v>
      </c>
    </row>
    <row r="85" spans="1:11" s="780" customFormat="1" ht="18" customHeight="1" x14ac:dyDescent="0.25">
      <c r="A85" s="773" t="s">
        <v>111</v>
      </c>
      <c r="B85" s="775" t="s">
        <v>57</v>
      </c>
      <c r="C85" s="614"/>
      <c r="D85" s="614"/>
      <c r="E85" s="614"/>
      <c r="F85" s="614"/>
      <c r="G85" s="614"/>
      <c r="H85" s="774"/>
      <c r="I85" s="774"/>
      <c r="J85" s="774"/>
      <c r="K85" s="614"/>
    </row>
    <row r="86" spans="1:11" s="780" customFormat="1" ht="18" customHeight="1" x14ac:dyDescent="0.25">
      <c r="A86" s="776" t="s">
        <v>112</v>
      </c>
      <c r="B86" s="614" t="s">
        <v>113</v>
      </c>
      <c r="C86" s="614"/>
      <c r="D86" s="614"/>
      <c r="E86" s="614"/>
      <c r="F86" s="262"/>
      <c r="G86" s="262"/>
      <c r="H86" s="264"/>
      <c r="I86" s="268"/>
      <c r="J86" s="264"/>
      <c r="K86" s="263">
        <f t="shared" ref="K86:K96" si="9">(H86+I86)-J86</f>
        <v>0</v>
      </c>
    </row>
    <row r="87" spans="1:11" s="780" customFormat="1" ht="18" customHeight="1" x14ac:dyDescent="0.25">
      <c r="A87" s="776" t="s">
        <v>114</v>
      </c>
      <c r="B87" s="614" t="s">
        <v>14</v>
      </c>
      <c r="C87" s="614"/>
      <c r="D87" s="614"/>
      <c r="E87" s="614"/>
      <c r="F87" s="262">
        <v>6</v>
      </c>
      <c r="G87" s="262">
        <v>0</v>
      </c>
      <c r="H87" s="262">
        <v>2178.6398720191796</v>
      </c>
      <c r="I87" s="262">
        <v>1908.9029230405945</v>
      </c>
      <c r="J87" s="262">
        <v>0</v>
      </c>
      <c r="K87" s="263">
        <f t="shared" si="9"/>
        <v>4087.5427950597741</v>
      </c>
    </row>
    <row r="88" spans="1:11" s="780" customFormat="1" ht="18" customHeight="1" x14ac:dyDescent="0.25">
      <c r="A88" s="776" t="s">
        <v>115</v>
      </c>
      <c r="B88" s="614" t="s">
        <v>116</v>
      </c>
      <c r="C88" s="614"/>
      <c r="D88" s="614"/>
      <c r="E88" s="614"/>
      <c r="F88" s="262">
        <v>138</v>
      </c>
      <c r="G88" s="262">
        <v>0</v>
      </c>
      <c r="H88" s="262">
        <v>5258.7170564411281</v>
      </c>
      <c r="I88" s="262">
        <v>4607.6363925077048</v>
      </c>
      <c r="J88" s="262">
        <v>0</v>
      </c>
      <c r="K88" s="263">
        <f t="shared" si="9"/>
        <v>9866.3534489488338</v>
      </c>
    </row>
    <row r="89" spans="1:11" s="780" customFormat="1" ht="18" customHeight="1" x14ac:dyDescent="0.25">
      <c r="A89" s="776" t="s">
        <v>117</v>
      </c>
      <c r="B89" s="614" t="s">
        <v>58</v>
      </c>
      <c r="C89" s="614"/>
      <c r="D89" s="614"/>
      <c r="E89" s="614"/>
      <c r="F89" s="262"/>
      <c r="G89" s="262"/>
      <c r="H89" s="262"/>
      <c r="I89" s="262"/>
      <c r="J89" s="262"/>
      <c r="K89" s="263">
        <f t="shared" si="9"/>
        <v>0</v>
      </c>
    </row>
    <row r="90" spans="1:11" s="780" customFormat="1" ht="18" customHeight="1" x14ac:dyDescent="0.25">
      <c r="A90" s="776" t="s">
        <v>118</v>
      </c>
      <c r="B90" s="783" t="s">
        <v>59</v>
      </c>
      <c r="C90" s="783"/>
      <c r="D90" s="614"/>
      <c r="E90" s="614"/>
      <c r="F90" s="262"/>
      <c r="G90" s="262"/>
      <c r="H90" s="262"/>
      <c r="I90" s="262"/>
      <c r="J90" s="262"/>
      <c r="K90" s="263">
        <f t="shared" si="9"/>
        <v>0</v>
      </c>
    </row>
    <row r="91" spans="1:11" s="780" customFormat="1" ht="18" customHeight="1" x14ac:dyDescent="0.25">
      <c r="A91" s="776" t="s">
        <v>119</v>
      </c>
      <c r="B91" s="614" t="s">
        <v>60</v>
      </c>
      <c r="C91" s="614"/>
      <c r="D91" s="614"/>
      <c r="E91" s="614"/>
      <c r="F91" s="262">
        <v>213</v>
      </c>
      <c r="G91" s="262">
        <v>0</v>
      </c>
      <c r="H91" s="262">
        <v>8116.7154566808731</v>
      </c>
      <c r="I91" s="262">
        <v>7111.7866058271102</v>
      </c>
      <c r="J91" s="262">
        <v>0</v>
      </c>
      <c r="K91" s="263">
        <f t="shared" si="9"/>
        <v>15228.502062507983</v>
      </c>
    </row>
    <row r="92" spans="1:11" s="780" customFormat="1" ht="18" customHeight="1" x14ac:dyDescent="0.25">
      <c r="A92" s="776" t="s">
        <v>120</v>
      </c>
      <c r="B92" s="614" t="s">
        <v>121</v>
      </c>
      <c r="C92" s="614"/>
      <c r="D92" s="614"/>
      <c r="E92" s="614"/>
      <c r="F92" s="816">
        <v>0</v>
      </c>
      <c r="G92" s="816">
        <v>0</v>
      </c>
      <c r="H92" s="816">
        <v>2500</v>
      </c>
      <c r="I92" s="816">
        <v>2190</v>
      </c>
      <c r="J92" s="816">
        <v>0</v>
      </c>
      <c r="K92" s="263">
        <v>4690.4799999999996</v>
      </c>
    </row>
    <row r="93" spans="1:11" s="780" customFormat="1" ht="18" customHeight="1" x14ac:dyDescent="0.25">
      <c r="A93" s="776" t="s">
        <v>122</v>
      </c>
      <c r="B93" s="614" t="s">
        <v>123</v>
      </c>
      <c r="C93" s="614"/>
      <c r="D93" s="614"/>
      <c r="E93" s="614"/>
      <c r="F93" s="262">
        <v>0</v>
      </c>
      <c r="G93" s="262">
        <v>0</v>
      </c>
      <c r="H93" s="262">
        <v>0</v>
      </c>
      <c r="I93" s="262">
        <v>0</v>
      </c>
      <c r="J93" s="262">
        <v>0</v>
      </c>
      <c r="K93" s="263">
        <f t="shared" si="9"/>
        <v>0</v>
      </c>
    </row>
    <row r="94" spans="1:11" s="780" customFormat="1" ht="18" customHeight="1" x14ac:dyDescent="0.25">
      <c r="A94" s="776" t="s">
        <v>124</v>
      </c>
      <c r="B94" s="787"/>
      <c r="C94" s="788"/>
      <c r="D94" s="789"/>
      <c r="E94" s="614"/>
      <c r="F94" s="262"/>
      <c r="G94" s="262"/>
      <c r="H94" s="264"/>
      <c r="I94" s="268"/>
      <c r="J94" s="264"/>
      <c r="K94" s="263">
        <f t="shared" si="9"/>
        <v>0</v>
      </c>
    </row>
    <row r="95" spans="1:11" s="780" customFormat="1" ht="18" customHeight="1" x14ac:dyDescent="0.25">
      <c r="A95" s="776" t="s">
        <v>125</v>
      </c>
      <c r="B95" s="787"/>
      <c r="C95" s="788"/>
      <c r="D95" s="789"/>
      <c r="E95" s="614"/>
      <c r="F95" s="262"/>
      <c r="G95" s="262"/>
      <c r="H95" s="264"/>
      <c r="I95" s="268"/>
      <c r="J95" s="264"/>
      <c r="K95" s="263">
        <f t="shared" si="9"/>
        <v>0</v>
      </c>
    </row>
    <row r="96" spans="1:11" s="780" customFormat="1" ht="18" customHeight="1" x14ac:dyDescent="0.25">
      <c r="A96" s="776" t="s">
        <v>126</v>
      </c>
      <c r="B96" s="787"/>
      <c r="C96" s="788"/>
      <c r="D96" s="789"/>
      <c r="E96" s="614"/>
      <c r="F96" s="262"/>
      <c r="G96" s="262"/>
      <c r="H96" s="264"/>
      <c r="I96" s="268"/>
      <c r="J96" s="264"/>
      <c r="K96" s="263">
        <f t="shared" si="9"/>
        <v>0</v>
      </c>
    </row>
    <row r="97" spans="1:11" ht="18" customHeight="1" x14ac:dyDescent="0.25">
      <c r="A97" s="776"/>
    </row>
    <row r="98" spans="1:11" ht="18" customHeight="1" x14ac:dyDescent="0.25">
      <c r="A98" s="773" t="s">
        <v>150</v>
      </c>
      <c r="B98" s="775" t="s">
        <v>151</v>
      </c>
      <c r="E98" s="775" t="s">
        <v>7</v>
      </c>
      <c r="F98" s="262">
        <f t="shared" ref="F98:K98" si="10">SUM(F86:F96)</f>
        <v>357</v>
      </c>
      <c r="G98" s="262">
        <f t="shared" si="10"/>
        <v>0</v>
      </c>
      <c r="H98" s="264">
        <f t="shared" si="10"/>
        <v>18054.072385141182</v>
      </c>
      <c r="I98" s="264">
        <f t="shared" si="10"/>
        <v>15818.32592137541</v>
      </c>
      <c r="J98" s="264">
        <f t="shared" si="10"/>
        <v>0</v>
      </c>
      <c r="K98" s="262">
        <f t="shared" si="10"/>
        <v>33872.878306516592</v>
      </c>
    </row>
    <row r="99" spans="1:11" ht="18" customHeight="1" thickBot="1" x14ac:dyDescent="0.3">
      <c r="B99" s="775"/>
      <c r="F99" s="799"/>
      <c r="G99" s="799"/>
      <c r="H99" s="800"/>
      <c r="I99" s="800"/>
      <c r="J99" s="800"/>
      <c r="K99" s="799"/>
    </row>
    <row r="100" spans="1:11" ht="42.75" customHeight="1" x14ac:dyDescent="0.25">
      <c r="F100" s="785" t="s">
        <v>9</v>
      </c>
      <c r="G100" s="785" t="s">
        <v>37</v>
      </c>
      <c r="H100" s="786" t="s">
        <v>29</v>
      </c>
      <c r="I100" s="786" t="s">
        <v>30</v>
      </c>
      <c r="J100" s="786" t="s">
        <v>33</v>
      </c>
      <c r="K100" s="785" t="s">
        <v>34</v>
      </c>
    </row>
    <row r="101" spans="1:11" ht="18" customHeight="1" x14ac:dyDescent="0.25">
      <c r="A101" s="773" t="s">
        <v>130</v>
      </c>
      <c r="B101" s="775" t="s">
        <v>63</v>
      </c>
    </row>
    <row r="102" spans="1:11" ht="18" customHeight="1" x14ac:dyDescent="0.25">
      <c r="A102" s="776" t="s">
        <v>131</v>
      </c>
      <c r="B102" s="614" t="s">
        <v>152</v>
      </c>
      <c r="F102" s="262">
        <v>460</v>
      </c>
      <c r="G102" s="262">
        <v>0</v>
      </c>
      <c r="H102" s="262">
        <v>17529.056854803763</v>
      </c>
      <c r="I102" s="262">
        <v>15358.787975025683</v>
      </c>
      <c r="J102" s="262">
        <v>0</v>
      </c>
      <c r="K102" s="263">
        <f>(H102+I102)-J102</f>
        <v>32887.844829829446</v>
      </c>
    </row>
    <row r="103" spans="1:11" ht="18" customHeight="1" x14ac:dyDescent="0.25">
      <c r="A103" s="776" t="s">
        <v>132</v>
      </c>
      <c r="B103" s="783" t="s">
        <v>62</v>
      </c>
      <c r="C103" s="783"/>
      <c r="F103" s="262">
        <v>800</v>
      </c>
      <c r="G103" s="262">
        <v>0</v>
      </c>
      <c r="H103" s="262">
        <v>30485.316269223931</v>
      </c>
      <c r="I103" s="262">
        <v>26710.935608740318</v>
      </c>
      <c r="J103" s="262">
        <v>0</v>
      </c>
      <c r="K103" s="263">
        <f>(H103+I103)-J103</f>
        <v>57196.251877964249</v>
      </c>
    </row>
    <row r="104" spans="1:11" ht="18" customHeight="1" x14ac:dyDescent="0.25">
      <c r="A104" s="776" t="s">
        <v>128</v>
      </c>
      <c r="B104" s="787"/>
      <c r="C104" s="788"/>
      <c r="D104" s="789"/>
      <c r="F104" s="262"/>
      <c r="G104" s="262"/>
      <c r="H104" s="264"/>
      <c r="I104" s="268"/>
      <c r="J104" s="264"/>
      <c r="K104" s="263">
        <f>(H104+I104)-J104</f>
        <v>0</v>
      </c>
    </row>
    <row r="105" spans="1:11" ht="18" customHeight="1" x14ac:dyDescent="0.25">
      <c r="A105" s="776" t="s">
        <v>127</v>
      </c>
      <c r="B105" s="787"/>
      <c r="C105" s="788"/>
      <c r="D105" s="789"/>
      <c r="F105" s="262"/>
      <c r="G105" s="262"/>
      <c r="H105" s="264"/>
      <c r="I105" s="268"/>
      <c r="J105" s="264"/>
      <c r="K105" s="263">
        <f>(H105+I105)-J105</f>
        <v>0</v>
      </c>
    </row>
    <row r="106" spans="1:11" ht="18" customHeight="1" x14ac:dyDescent="0.25">
      <c r="A106" s="776" t="s">
        <v>129</v>
      </c>
      <c r="B106" s="787"/>
      <c r="C106" s="788"/>
      <c r="D106" s="789"/>
      <c r="F106" s="262"/>
      <c r="G106" s="262"/>
      <c r="H106" s="264"/>
      <c r="I106" s="268"/>
      <c r="J106" s="264"/>
      <c r="K106" s="263">
        <f>(H106+I106)-J106</f>
        <v>0</v>
      </c>
    </row>
    <row r="107" spans="1:11" ht="18" customHeight="1" x14ac:dyDescent="0.25">
      <c r="B107" s="775"/>
    </row>
    <row r="108" spans="1:11" s="797" customFormat="1" ht="18" customHeight="1" x14ac:dyDescent="0.25">
      <c r="A108" s="773" t="s">
        <v>153</v>
      </c>
      <c r="B108" s="817" t="s">
        <v>154</v>
      </c>
      <c r="C108" s="614"/>
      <c r="D108" s="614"/>
      <c r="E108" s="775" t="s">
        <v>7</v>
      </c>
      <c r="F108" s="262">
        <f t="shared" ref="F108:K108" si="11">SUM(F102:F106)</f>
        <v>1260</v>
      </c>
      <c r="G108" s="262">
        <f t="shared" si="11"/>
        <v>0</v>
      </c>
      <c r="H108" s="264">
        <f t="shared" si="11"/>
        <v>48014.373124027697</v>
      </c>
      <c r="I108" s="264">
        <f t="shared" si="11"/>
        <v>42069.723583765997</v>
      </c>
      <c r="J108" s="264">
        <f t="shared" si="11"/>
        <v>0</v>
      </c>
      <c r="K108" s="263">
        <f t="shared" si="11"/>
        <v>90084.096707793695</v>
      </c>
    </row>
    <row r="109" spans="1:11" s="797" customFormat="1" ht="18" customHeight="1" thickBot="1" x14ac:dyDescent="0.3">
      <c r="A109" s="818"/>
      <c r="B109" s="819"/>
      <c r="C109" s="820"/>
      <c r="D109" s="820"/>
      <c r="E109" s="820"/>
      <c r="F109" s="799"/>
      <c r="G109" s="799"/>
      <c r="H109" s="800"/>
      <c r="I109" s="800"/>
      <c r="J109" s="800"/>
      <c r="K109" s="799"/>
    </row>
    <row r="110" spans="1:11" s="797" customFormat="1" ht="18" customHeight="1" x14ac:dyDescent="0.25">
      <c r="A110" s="773" t="s">
        <v>156</v>
      </c>
      <c r="B110" s="775" t="s">
        <v>39</v>
      </c>
      <c r="C110" s="614"/>
      <c r="D110" s="614"/>
      <c r="E110" s="614"/>
      <c r="F110" s="614"/>
      <c r="G110" s="614"/>
      <c r="H110" s="774"/>
      <c r="I110" s="774"/>
      <c r="J110" s="774"/>
      <c r="K110" s="614"/>
    </row>
    <row r="111" spans="1:11" ht="18" customHeight="1" x14ac:dyDescent="0.25">
      <c r="A111" s="773" t="s">
        <v>155</v>
      </c>
      <c r="B111" s="775" t="s">
        <v>164</v>
      </c>
      <c r="E111" s="775" t="s">
        <v>7</v>
      </c>
      <c r="F111" s="253">
        <v>475000</v>
      </c>
    </row>
    <row r="112" spans="1:11" ht="18" customHeight="1" x14ac:dyDescent="0.25">
      <c r="B112" s="775"/>
      <c r="E112" s="775"/>
      <c r="F112" s="821"/>
    </row>
    <row r="113" spans="1:11" s="780" customFormat="1" ht="18" customHeight="1" x14ac:dyDescent="0.25">
      <c r="A113" s="773"/>
      <c r="B113" s="775" t="s">
        <v>15</v>
      </c>
      <c r="C113" s="614"/>
      <c r="D113" s="614"/>
      <c r="E113" s="614"/>
      <c r="F113" s="822"/>
      <c r="G113" s="614"/>
      <c r="H113" s="774"/>
      <c r="I113" s="774"/>
      <c r="J113" s="774"/>
      <c r="K113" s="614"/>
    </row>
    <row r="114" spans="1:11" s="780" customFormat="1" ht="18" customHeight="1" x14ac:dyDescent="0.25">
      <c r="A114" s="776" t="s">
        <v>171</v>
      </c>
      <c r="B114" s="614" t="s">
        <v>35</v>
      </c>
      <c r="C114" s="614"/>
      <c r="D114" s="614"/>
      <c r="E114" s="614"/>
      <c r="F114" s="260">
        <v>0.87619020819232918</v>
      </c>
      <c r="G114" s="614"/>
      <c r="H114" s="774"/>
      <c r="I114" s="774"/>
      <c r="J114" s="774"/>
      <c r="K114" s="614"/>
    </row>
    <row r="115" spans="1:11" s="780" customFormat="1" ht="18" customHeight="1" x14ac:dyDescent="0.25">
      <c r="A115" s="776"/>
      <c r="B115" s="775"/>
      <c r="C115" s="614"/>
      <c r="D115" s="614"/>
      <c r="E115" s="614"/>
      <c r="F115" s="421"/>
      <c r="G115" s="614"/>
      <c r="H115" s="774"/>
      <c r="I115" s="774"/>
      <c r="J115" s="774"/>
      <c r="K115" s="614"/>
    </row>
    <row r="116" spans="1:11" s="780" customFormat="1" ht="18" customHeight="1" x14ac:dyDescent="0.25">
      <c r="A116" s="776" t="s">
        <v>170</v>
      </c>
      <c r="B116" s="775" t="s">
        <v>16</v>
      </c>
      <c r="C116" s="614"/>
      <c r="D116" s="614"/>
      <c r="E116" s="614"/>
      <c r="F116" s="421"/>
      <c r="G116" s="614"/>
      <c r="H116" s="774"/>
      <c r="I116" s="774"/>
      <c r="J116" s="774"/>
      <c r="K116" s="614"/>
    </row>
    <row r="117" spans="1:11" s="780" customFormat="1" ht="18" customHeight="1" x14ac:dyDescent="0.25">
      <c r="A117" s="776" t="s">
        <v>172</v>
      </c>
      <c r="B117" s="614" t="s">
        <v>17</v>
      </c>
      <c r="C117" s="614"/>
      <c r="D117" s="614"/>
      <c r="E117" s="614"/>
      <c r="F117" s="103">
        <v>53243600.150000006</v>
      </c>
      <c r="G117" s="614"/>
      <c r="H117" s="774"/>
      <c r="I117" s="774"/>
      <c r="J117" s="774"/>
      <c r="K117" s="614"/>
    </row>
    <row r="118" spans="1:11" s="780" customFormat="1" ht="18" customHeight="1" x14ac:dyDescent="0.25">
      <c r="A118" s="776" t="s">
        <v>173</v>
      </c>
      <c r="B118" s="614" t="s">
        <v>18</v>
      </c>
      <c r="C118" s="614"/>
      <c r="D118" s="614"/>
      <c r="E118" s="614"/>
      <c r="F118" s="103">
        <v>510000</v>
      </c>
      <c r="G118" s="614"/>
      <c r="H118" s="774"/>
      <c r="I118" s="774"/>
      <c r="J118" s="774"/>
      <c r="K118" s="614"/>
    </row>
    <row r="119" spans="1:11" s="780" customFormat="1" ht="18" customHeight="1" x14ac:dyDescent="0.25">
      <c r="A119" s="776" t="s">
        <v>174</v>
      </c>
      <c r="B119" s="775" t="s">
        <v>19</v>
      </c>
      <c r="C119" s="614"/>
      <c r="D119" s="614"/>
      <c r="E119" s="614"/>
      <c r="F119" s="103">
        <f>SUM(F117:F118)</f>
        <v>53753600.150000006</v>
      </c>
      <c r="G119" s="614"/>
      <c r="H119" s="774"/>
      <c r="I119" s="774"/>
      <c r="J119" s="774"/>
      <c r="K119" s="614"/>
    </row>
    <row r="120" spans="1:11" s="780" customFormat="1" ht="18" customHeight="1" x14ac:dyDescent="0.25">
      <c r="A120" s="776"/>
      <c r="B120" s="775"/>
      <c r="C120" s="614"/>
      <c r="D120" s="614"/>
      <c r="E120" s="614"/>
      <c r="F120" s="823"/>
      <c r="G120" s="614"/>
      <c r="H120" s="774"/>
      <c r="I120" s="774"/>
      <c r="J120" s="774"/>
      <c r="K120" s="614"/>
    </row>
    <row r="121" spans="1:11" s="780" customFormat="1" ht="18" customHeight="1" x14ac:dyDescent="0.25">
      <c r="A121" s="776" t="s">
        <v>167</v>
      </c>
      <c r="B121" s="775" t="s">
        <v>36</v>
      </c>
      <c r="C121" s="614"/>
      <c r="D121" s="614"/>
      <c r="E121" s="614"/>
      <c r="F121" s="103">
        <v>46259300</v>
      </c>
      <c r="G121" s="614"/>
      <c r="H121" s="774"/>
      <c r="I121" s="774"/>
      <c r="J121" s="774"/>
      <c r="K121" s="614"/>
    </row>
    <row r="122" spans="1:11" s="780" customFormat="1" ht="18" customHeight="1" x14ac:dyDescent="0.25">
      <c r="A122" s="776"/>
      <c r="B122" s="614"/>
      <c r="C122" s="614"/>
      <c r="D122" s="614"/>
      <c r="E122" s="614"/>
      <c r="F122" s="261"/>
      <c r="G122" s="614"/>
      <c r="H122" s="774"/>
      <c r="I122" s="774"/>
      <c r="J122" s="774"/>
      <c r="K122" s="614"/>
    </row>
    <row r="123" spans="1:11" s="780" customFormat="1" ht="18" customHeight="1" x14ac:dyDescent="0.25">
      <c r="A123" s="776" t="s">
        <v>175</v>
      </c>
      <c r="B123" s="775" t="s">
        <v>20</v>
      </c>
      <c r="C123" s="614"/>
      <c r="D123" s="614"/>
      <c r="E123" s="614"/>
      <c r="F123" s="103">
        <f>-F121+F119</f>
        <v>7494300.150000006</v>
      </c>
      <c r="G123" s="614"/>
      <c r="H123" s="774"/>
      <c r="I123" s="774"/>
      <c r="J123" s="774"/>
      <c r="K123" s="614"/>
    </row>
    <row r="124" spans="1:11" s="780" customFormat="1" ht="18" customHeight="1" x14ac:dyDescent="0.25">
      <c r="A124" s="776"/>
      <c r="B124" s="614"/>
      <c r="C124" s="614"/>
      <c r="D124" s="614"/>
      <c r="E124" s="614"/>
      <c r="F124" s="261"/>
      <c r="G124" s="614"/>
      <c r="H124" s="774"/>
      <c r="I124" s="774"/>
      <c r="J124" s="774"/>
      <c r="K124" s="614"/>
    </row>
    <row r="125" spans="1:11" s="780" customFormat="1" ht="18" customHeight="1" x14ac:dyDescent="0.25">
      <c r="A125" s="776" t="s">
        <v>176</v>
      </c>
      <c r="B125" s="775" t="s">
        <v>21</v>
      </c>
      <c r="C125" s="614"/>
      <c r="D125" s="614"/>
      <c r="E125" s="614"/>
      <c r="F125" s="103">
        <v>641000</v>
      </c>
      <c r="G125" s="614"/>
      <c r="H125" s="774"/>
      <c r="I125" s="774"/>
      <c r="J125" s="774"/>
      <c r="K125" s="614"/>
    </row>
    <row r="126" spans="1:11" s="780" customFormat="1" ht="18" customHeight="1" x14ac:dyDescent="0.25">
      <c r="A126" s="776"/>
      <c r="B126" s="614"/>
      <c r="C126" s="614"/>
      <c r="D126" s="614"/>
      <c r="E126" s="614"/>
      <c r="F126" s="261"/>
      <c r="G126" s="614"/>
      <c r="H126" s="774"/>
      <c r="I126" s="774"/>
      <c r="J126" s="774"/>
      <c r="K126" s="614"/>
    </row>
    <row r="127" spans="1:11" s="780" customFormat="1" ht="18" customHeight="1" x14ac:dyDescent="0.25">
      <c r="A127" s="776" t="s">
        <v>177</v>
      </c>
      <c r="B127" s="775" t="s">
        <v>22</v>
      </c>
      <c r="C127" s="614"/>
      <c r="D127" s="614"/>
      <c r="E127" s="614"/>
      <c r="F127" s="103">
        <f>+F123+F125</f>
        <v>8135300.150000006</v>
      </c>
      <c r="G127" s="614"/>
      <c r="H127" s="774"/>
      <c r="I127" s="774"/>
      <c r="J127" s="774"/>
      <c r="K127" s="614"/>
    </row>
    <row r="128" spans="1:11" s="780" customFormat="1" ht="18" customHeight="1" x14ac:dyDescent="0.25">
      <c r="A128" s="776"/>
      <c r="B128" s="614"/>
      <c r="C128" s="614"/>
      <c r="D128" s="614"/>
      <c r="E128" s="614"/>
      <c r="F128" s="614"/>
      <c r="G128" s="614"/>
      <c r="H128" s="774"/>
      <c r="I128" s="774"/>
      <c r="J128" s="774"/>
      <c r="K128" s="614"/>
    </row>
    <row r="129" spans="1:11" ht="42.75" customHeight="1" x14ac:dyDescent="0.25">
      <c r="F129" s="785" t="s">
        <v>9</v>
      </c>
      <c r="G129" s="785" t="s">
        <v>37</v>
      </c>
      <c r="H129" s="786" t="s">
        <v>29</v>
      </c>
      <c r="I129" s="786" t="s">
        <v>30</v>
      </c>
      <c r="J129" s="786" t="s">
        <v>33</v>
      </c>
      <c r="K129" s="785" t="s">
        <v>34</v>
      </c>
    </row>
    <row r="130" spans="1:11" ht="18" customHeight="1" x14ac:dyDescent="0.25">
      <c r="A130" s="773" t="s">
        <v>157</v>
      </c>
      <c r="B130" s="775" t="s">
        <v>23</v>
      </c>
    </row>
    <row r="131" spans="1:11" ht="18" customHeight="1" x14ac:dyDescent="0.25">
      <c r="A131" s="776" t="s">
        <v>158</v>
      </c>
      <c r="B131" s="614" t="s">
        <v>24</v>
      </c>
      <c r="F131" s="262"/>
      <c r="G131" s="262"/>
      <c r="H131" s="264"/>
      <c r="I131" s="268">
        <v>0</v>
      </c>
      <c r="J131" s="264">
        <v>0</v>
      </c>
      <c r="K131" s="263">
        <f>(H131+I131)-J131</f>
        <v>0</v>
      </c>
    </row>
    <row r="132" spans="1:11" ht="18" customHeight="1" x14ac:dyDescent="0.25">
      <c r="A132" s="776" t="s">
        <v>159</v>
      </c>
      <c r="B132" s="614" t="s">
        <v>25</v>
      </c>
      <c r="F132" s="262"/>
      <c r="G132" s="262"/>
      <c r="H132" s="264"/>
      <c r="I132" s="268">
        <v>0</v>
      </c>
      <c r="J132" s="264">
        <v>0</v>
      </c>
      <c r="K132" s="263">
        <f>(H132+I132)-J132</f>
        <v>0</v>
      </c>
    </row>
    <row r="133" spans="1:11" ht="18" customHeight="1" x14ac:dyDescent="0.25">
      <c r="A133" s="776" t="s">
        <v>160</v>
      </c>
      <c r="B133" s="787"/>
      <c r="C133" s="788"/>
      <c r="D133" s="789"/>
      <c r="F133" s="262"/>
      <c r="G133" s="262"/>
      <c r="H133" s="264"/>
      <c r="I133" s="268">
        <v>0</v>
      </c>
      <c r="J133" s="264"/>
      <c r="K133" s="263">
        <f>(H133+I133)-J133</f>
        <v>0</v>
      </c>
    </row>
    <row r="134" spans="1:11" ht="18" customHeight="1" x14ac:dyDescent="0.25">
      <c r="A134" s="776" t="s">
        <v>161</v>
      </c>
      <c r="B134" s="787"/>
      <c r="C134" s="788"/>
      <c r="D134" s="789"/>
      <c r="F134" s="262"/>
      <c r="G134" s="262"/>
      <c r="H134" s="264"/>
      <c r="I134" s="268">
        <v>0</v>
      </c>
      <c r="J134" s="264"/>
      <c r="K134" s="263">
        <f>(H134+I134)-J134</f>
        <v>0</v>
      </c>
    </row>
    <row r="135" spans="1:11" ht="18" customHeight="1" x14ac:dyDescent="0.25">
      <c r="A135" s="776" t="s">
        <v>162</v>
      </c>
      <c r="B135" s="787"/>
      <c r="C135" s="788"/>
      <c r="D135" s="789"/>
      <c r="F135" s="262"/>
      <c r="G135" s="262"/>
      <c r="H135" s="264"/>
      <c r="I135" s="268">
        <v>0</v>
      </c>
      <c r="J135" s="264"/>
      <c r="K135" s="263">
        <f>(H135+I135)-J135</f>
        <v>0</v>
      </c>
    </row>
    <row r="136" spans="1:11" ht="18" customHeight="1" x14ac:dyDescent="0.25">
      <c r="A136" s="773"/>
    </row>
    <row r="137" spans="1:11" ht="18" customHeight="1" x14ac:dyDescent="0.25">
      <c r="A137" s="773" t="s">
        <v>163</v>
      </c>
      <c r="B137" s="775" t="s">
        <v>27</v>
      </c>
      <c r="F137" s="262">
        <f t="shared" ref="F137:K137" si="12">SUM(F131:F135)</f>
        <v>0</v>
      </c>
      <c r="G137" s="262">
        <f t="shared" si="12"/>
        <v>0</v>
      </c>
      <c r="H137" s="264">
        <f t="shared" si="12"/>
        <v>0</v>
      </c>
      <c r="I137" s="264">
        <f t="shared" si="12"/>
        <v>0</v>
      </c>
      <c r="J137" s="264">
        <f t="shared" si="12"/>
        <v>0</v>
      </c>
      <c r="K137" s="263">
        <f t="shared" si="12"/>
        <v>0</v>
      </c>
    </row>
    <row r="138" spans="1:11" ht="18" customHeight="1" x14ac:dyDescent="0.2">
      <c r="A138" s="614"/>
    </row>
    <row r="139" spans="1:11" ht="42.75" customHeight="1" x14ac:dyDescent="0.25">
      <c r="F139" s="785" t="s">
        <v>9</v>
      </c>
      <c r="G139" s="785" t="s">
        <v>37</v>
      </c>
      <c r="H139" s="786" t="s">
        <v>29</v>
      </c>
      <c r="I139" s="786" t="s">
        <v>30</v>
      </c>
      <c r="J139" s="786" t="s">
        <v>33</v>
      </c>
      <c r="K139" s="785" t="s">
        <v>34</v>
      </c>
    </row>
    <row r="140" spans="1:11" ht="18" customHeight="1" x14ac:dyDescent="0.25">
      <c r="A140" s="773" t="s">
        <v>166</v>
      </c>
      <c r="B140" s="775" t="s">
        <v>26</v>
      </c>
    </row>
    <row r="141" spans="1:11" ht="18" customHeight="1" x14ac:dyDescent="0.25">
      <c r="A141" s="776" t="s">
        <v>137</v>
      </c>
      <c r="B141" s="775" t="s">
        <v>64</v>
      </c>
      <c r="F141" s="809">
        <f t="shared" ref="F141:K141" si="13">F36</f>
        <v>1390</v>
      </c>
      <c r="G141" s="809">
        <f t="shared" si="13"/>
        <v>2148</v>
      </c>
      <c r="H141" s="810">
        <f t="shared" si="13"/>
        <v>64153.237017776592</v>
      </c>
      <c r="I141" s="810">
        <f t="shared" si="13"/>
        <v>56210.438098817496</v>
      </c>
      <c r="J141" s="810">
        <f t="shared" si="13"/>
        <v>0</v>
      </c>
      <c r="K141" s="809">
        <f t="shared" si="13"/>
        <v>120363.67511659408</v>
      </c>
    </row>
    <row r="142" spans="1:11" ht="18" customHeight="1" x14ac:dyDescent="0.25">
      <c r="A142" s="776" t="s">
        <v>142</v>
      </c>
      <c r="B142" s="775" t="s">
        <v>65</v>
      </c>
      <c r="F142" s="809">
        <f t="shared" ref="F142:K142" si="14">F49</f>
        <v>0</v>
      </c>
      <c r="G142" s="809">
        <f t="shared" si="14"/>
        <v>0</v>
      </c>
      <c r="H142" s="810">
        <f t="shared" si="14"/>
        <v>0</v>
      </c>
      <c r="I142" s="810">
        <f t="shared" si="14"/>
        <v>0</v>
      </c>
      <c r="J142" s="810">
        <f t="shared" si="14"/>
        <v>0</v>
      </c>
      <c r="K142" s="809">
        <f t="shared" si="14"/>
        <v>0</v>
      </c>
    </row>
    <row r="143" spans="1:11" ht="18" customHeight="1" x14ac:dyDescent="0.25">
      <c r="A143" s="776" t="s">
        <v>144</v>
      </c>
      <c r="B143" s="775" t="s">
        <v>66</v>
      </c>
      <c r="F143" s="809">
        <f t="shared" ref="F143:K143" si="15">F64</f>
        <v>15599.85</v>
      </c>
      <c r="G143" s="809">
        <f t="shared" si="15"/>
        <v>16183</v>
      </c>
      <c r="H143" s="810">
        <f t="shared" si="15"/>
        <v>8398589.6187398471</v>
      </c>
      <c r="I143" s="810">
        <f t="shared" si="15"/>
        <v>5934872.9420256689</v>
      </c>
      <c r="J143" s="810">
        <f t="shared" si="15"/>
        <v>2857525.64</v>
      </c>
      <c r="K143" s="809">
        <f t="shared" si="15"/>
        <v>11475936.920765517</v>
      </c>
    </row>
    <row r="144" spans="1:11" ht="18" customHeight="1" x14ac:dyDescent="0.25">
      <c r="A144" s="776" t="s">
        <v>146</v>
      </c>
      <c r="B144" s="775" t="s">
        <v>67</v>
      </c>
      <c r="F144" s="809">
        <f t="shared" ref="F144:K144" si="16">F74</f>
        <v>0</v>
      </c>
      <c r="G144" s="809">
        <f t="shared" si="16"/>
        <v>0</v>
      </c>
      <c r="H144" s="810">
        <f t="shared" si="16"/>
        <v>0</v>
      </c>
      <c r="I144" s="810">
        <f t="shared" si="16"/>
        <v>0</v>
      </c>
      <c r="J144" s="810">
        <f t="shared" si="16"/>
        <v>0</v>
      </c>
      <c r="K144" s="809">
        <f t="shared" si="16"/>
        <v>0</v>
      </c>
    </row>
    <row r="145" spans="1:11" ht="18" customHeight="1" x14ac:dyDescent="0.25">
      <c r="A145" s="776" t="s">
        <v>148</v>
      </c>
      <c r="B145" s="775" t="s">
        <v>68</v>
      </c>
      <c r="F145" s="809">
        <f t="shared" ref="F145:K145" si="17">F82</f>
        <v>0</v>
      </c>
      <c r="G145" s="809">
        <f t="shared" si="17"/>
        <v>0</v>
      </c>
      <c r="H145" s="810">
        <f t="shared" si="17"/>
        <v>5000</v>
      </c>
      <c r="I145" s="810">
        <f t="shared" si="17"/>
        <v>4380.951040961646</v>
      </c>
      <c r="J145" s="810">
        <f t="shared" si="17"/>
        <v>0</v>
      </c>
      <c r="K145" s="809">
        <f t="shared" si="17"/>
        <v>9380.951040961645</v>
      </c>
    </row>
    <row r="146" spans="1:11" ht="18" customHeight="1" x14ac:dyDescent="0.25">
      <c r="A146" s="776" t="s">
        <v>150</v>
      </c>
      <c r="B146" s="775" t="s">
        <v>69</v>
      </c>
      <c r="F146" s="809">
        <f t="shared" ref="F146:K146" si="18">F98</f>
        <v>357</v>
      </c>
      <c r="G146" s="809">
        <f t="shared" si="18"/>
        <v>0</v>
      </c>
      <c r="H146" s="810">
        <f t="shared" si="18"/>
        <v>18054.072385141182</v>
      </c>
      <c r="I146" s="810">
        <f t="shared" si="18"/>
        <v>15818.32592137541</v>
      </c>
      <c r="J146" s="810">
        <f t="shared" si="18"/>
        <v>0</v>
      </c>
      <c r="K146" s="809">
        <f t="shared" si="18"/>
        <v>33872.878306516592</v>
      </c>
    </row>
    <row r="147" spans="1:11" ht="18" customHeight="1" x14ac:dyDescent="0.25">
      <c r="A147" s="776" t="s">
        <v>153</v>
      </c>
      <c r="B147" s="775" t="s">
        <v>61</v>
      </c>
      <c r="F147" s="262">
        <f t="shared" ref="F147:K147" si="19">F108</f>
        <v>1260</v>
      </c>
      <c r="G147" s="262">
        <f t="shared" si="19"/>
        <v>0</v>
      </c>
      <c r="H147" s="264">
        <f t="shared" si="19"/>
        <v>48014.373124027697</v>
      </c>
      <c r="I147" s="264">
        <f t="shared" si="19"/>
        <v>42069.723583765997</v>
      </c>
      <c r="J147" s="264">
        <f t="shared" si="19"/>
        <v>0</v>
      </c>
      <c r="K147" s="262">
        <f t="shared" si="19"/>
        <v>90084.096707793695</v>
      </c>
    </row>
    <row r="148" spans="1:11" ht="18" customHeight="1" x14ac:dyDescent="0.25">
      <c r="A148" s="776" t="s">
        <v>155</v>
      </c>
      <c r="B148" s="775" t="s">
        <v>70</v>
      </c>
      <c r="F148" s="824" t="s">
        <v>73</v>
      </c>
      <c r="G148" s="824" t="s">
        <v>73</v>
      </c>
      <c r="H148" s="825" t="s">
        <v>73</v>
      </c>
      <c r="I148" s="825" t="s">
        <v>73</v>
      </c>
      <c r="J148" s="825" t="s">
        <v>73</v>
      </c>
      <c r="K148" s="826">
        <f>F111</f>
        <v>475000</v>
      </c>
    </row>
    <row r="149" spans="1:11" ht="18" customHeight="1" x14ac:dyDescent="0.25">
      <c r="A149" s="776" t="s">
        <v>163</v>
      </c>
      <c r="B149" s="775" t="s">
        <v>71</v>
      </c>
      <c r="F149" s="262">
        <f t="shared" ref="F149:K149" si="20">F137</f>
        <v>0</v>
      </c>
      <c r="G149" s="262">
        <f t="shared" si="20"/>
        <v>0</v>
      </c>
      <c r="H149" s="264">
        <f t="shared" si="20"/>
        <v>0</v>
      </c>
      <c r="I149" s="264">
        <f t="shared" si="20"/>
        <v>0</v>
      </c>
      <c r="J149" s="264">
        <f t="shared" si="20"/>
        <v>0</v>
      </c>
      <c r="K149" s="262">
        <f t="shared" si="20"/>
        <v>0</v>
      </c>
    </row>
    <row r="150" spans="1:11" ht="18" customHeight="1" x14ac:dyDescent="0.25">
      <c r="A150" s="776" t="s">
        <v>185</v>
      </c>
      <c r="B150" s="775" t="s">
        <v>186</v>
      </c>
      <c r="F150" s="824" t="s">
        <v>73</v>
      </c>
      <c r="G150" s="824" t="s">
        <v>73</v>
      </c>
      <c r="H150" s="264">
        <f>H18</f>
        <v>1189868.4316751563</v>
      </c>
      <c r="I150" s="264">
        <f>I18</f>
        <v>0</v>
      </c>
      <c r="J150" s="264">
        <f>J18</f>
        <v>1005673.6217730169</v>
      </c>
      <c r="K150" s="262">
        <f>K18</f>
        <v>184194.80990213947</v>
      </c>
    </row>
    <row r="151" spans="1:11" ht="18" customHeight="1" x14ac:dyDescent="0.25">
      <c r="B151" s="775"/>
      <c r="F151" s="803"/>
      <c r="G151" s="803"/>
      <c r="H151" s="804"/>
      <c r="I151" s="804"/>
      <c r="J151" s="804"/>
      <c r="K151" s="803"/>
    </row>
    <row r="152" spans="1:11" ht="18" customHeight="1" x14ac:dyDescent="0.25">
      <c r="A152" s="773" t="s">
        <v>165</v>
      </c>
      <c r="B152" s="775" t="s">
        <v>26</v>
      </c>
      <c r="F152" s="827">
        <f t="shared" ref="F152:K152" si="21">SUM(F141:F150)</f>
        <v>18606.849999999999</v>
      </c>
      <c r="G152" s="827">
        <f t="shared" si="21"/>
        <v>18331</v>
      </c>
      <c r="H152" s="828">
        <f t="shared" si="21"/>
        <v>9723679.7329419497</v>
      </c>
      <c r="I152" s="828">
        <f t="shared" si="21"/>
        <v>6053352.3806705894</v>
      </c>
      <c r="J152" s="828">
        <f t="shared" si="21"/>
        <v>3863199.2617730172</v>
      </c>
      <c r="K152" s="827">
        <f t="shared" si="21"/>
        <v>12388833.331839522</v>
      </c>
    </row>
    <row r="154" spans="1:11" ht="18" customHeight="1" x14ac:dyDescent="0.25">
      <c r="A154" s="773" t="s">
        <v>168</v>
      </c>
      <c r="B154" s="775" t="s">
        <v>28</v>
      </c>
      <c r="F154" s="269">
        <f>K152/F121</f>
        <v>0.26781281454409217</v>
      </c>
    </row>
    <row r="155" spans="1:11" ht="18" customHeight="1" x14ac:dyDescent="0.25">
      <c r="A155" s="773" t="s">
        <v>169</v>
      </c>
      <c r="B155" s="775" t="s">
        <v>72</v>
      </c>
      <c r="F155" s="269">
        <f>K152/F127</f>
        <v>1.5228489549754982</v>
      </c>
      <c r="G155" s="775"/>
    </row>
    <row r="156" spans="1:11" ht="18" customHeight="1" x14ac:dyDescent="0.25">
      <c r="G156" s="775"/>
    </row>
  </sheetData>
  <sheetProtection algorithmName="SHA-512" hashValue="kzq1HpiG0gYp+T/x4WEODPzmrjTC9uzdSv8hHncGXw2vQeuxpB9aheB575fn2D66PfmvJ06WBG46VffqKif2Hg==" saltValue="U3U42f21KmthHLyMe/UMFA==" spinCount="100000" sheet="1" objects="1" scenarios="1"/>
  <mergeCells count="29">
    <mergeCell ref="B44:D44"/>
    <mergeCell ref="C8:G8"/>
    <mergeCell ref="B12:H12"/>
    <mergeCell ref="B31:D31"/>
    <mergeCell ref="B34:D34"/>
    <mergeCell ref="B41:C41"/>
    <mergeCell ref="C5:G5"/>
    <mergeCell ref="C6:G6"/>
    <mergeCell ref="C7:G7"/>
    <mergeCell ref="B134:D134"/>
    <mergeCell ref="C9:G9"/>
    <mergeCell ref="C10:G10"/>
    <mergeCell ref="B30:D30"/>
    <mergeCell ref="B95:D95"/>
    <mergeCell ref="B45:D45"/>
    <mergeCell ref="B46:D46"/>
    <mergeCell ref="B47:D47"/>
    <mergeCell ref="B52:C52"/>
    <mergeCell ref="B61:D61"/>
    <mergeCell ref="B62:D62"/>
    <mergeCell ref="B90:C90"/>
    <mergeCell ref="B94:D94"/>
    <mergeCell ref="B135:D135"/>
    <mergeCell ref="B96:D96"/>
    <mergeCell ref="B103:C103"/>
    <mergeCell ref="B104:D104"/>
    <mergeCell ref="B105:D105"/>
    <mergeCell ref="B106:D106"/>
    <mergeCell ref="B133:D133"/>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230</v>
      </c>
      <c r="D5" s="437"/>
      <c r="E5" s="437"/>
      <c r="F5" s="437"/>
      <c r="G5" s="438"/>
    </row>
    <row r="6" spans="1:11" ht="18" customHeight="1" x14ac:dyDescent="0.2">
      <c r="B6" s="435" t="s">
        <v>3</v>
      </c>
      <c r="C6" s="439">
        <v>32</v>
      </c>
      <c r="D6" s="440"/>
      <c r="E6" s="440"/>
      <c r="F6" s="440"/>
      <c r="G6" s="441"/>
    </row>
    <row r="7" spans="1:11" ht="18" customHeight="1" x14ac:dyDescent="0.2">
      <c r="B7" s="435" t="s">
        <v>4</v>
      </c>
      <c r="C7" s="492">
        <v>1372</v>
      </c>
      <c r="D7" s="493"/>
      <c r="E7" s="493"/>
      <c r="F7" s="493"/>
      <c r="G7" s="494"/>
    </row>
    <row r="9" spans="1:11" ht="18" customHeight="1" x14ac:dyDescent="0.2">
      <c r="B9" s="435" t="s">
        <v>1</v>
      </c>
      <c r="C9" s="436" t="s">
        <v>510</v>
      </c>
      <c r="D9" s="437"/>
      <c r="E9" s="437"/>
      <c r="F9" s="437"/>
      <c r="G9" s="438"/>
    </row>
    <row r="10" spans="1:11" ht="18" customHeight="1" x14ac:dyDescent="0.2">
      <c r="B10" s="435" t="s">
        <v>2</v>
      </c>
      <c r="C10" s="445" t="s">
        <v>456</v>
      </c>
      <c r="D10" s="446"/>
      <c r="E10" s="446"/>
      <c r="F10" s="446"/>
      <c r="G10" s="447"/>
    </row>
    <row r="11" spans="1:11" ht="18" customHeight="1" x14ac:dyDescent="0.2">
      <c r="B11" s="435" t="s">
        <v>32</v>
      </c>
      <c r="C11" s="495" t="s">
        <v>511</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3563780</v>
      </c>
      <c r="I18" s="133">
        <v>0</v>
      </c>
      <c r="J18" s="118">
        <v>3012097</v>
      </c>
      <c r="K18" s="118">
        <f>(H18+I18)-J18</f>
        <v>551683</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403.4</v>
      </c>
      <c r="G21" s="221">
        <v>1749</v>
      </c>
      <c r="H21" s="118">
        <v>11027</v>
      </c>
      <c r="I21" s="133">
        <v>4772</v>
      </c>
      <c r="J21" s="118">
        <v>0</v>
      </c>
      <c r="K21" s="118">
        <f t="shared" ref="K21:K34" si="0">(H21+I21)-J21</f>
        <v>15799</v>
      </c>
    </row>
    <row r="22" spans="1:11" ht="18" customHeight="1" x14ac:dyDescent="0.2">
      <c r="A22" s="435" t="s">
        <v>76</v>
      </c>
      <c r="B22" s="259" t="s">
        <v>6</v>
      </c>
      <c r="F22" s="221">
        <v>190.17</v>
      </c>
      <c r="G22" s="221">
        <v>402</v>
      </c>
      <c r="H22" s="118">
        <v>6706</v>
      </c>
      <c r="I22" s="133">
        <v>3489</v>
      </c>
      <c r="J22" s="118">
        <v>0</v>
      </c>
      <c r="K22" s="118">
        <f t="shared" si="0"/>
        <v>10195</v>
      </c>
    </row>
    <row r="23" spans="1:11" ht="18" customHeight="1" x14ac:dyDescent="0.2">
      <c r="A23" s="435" t="s">
        <v>77</v>
      </c>
      <c r="B23" s="259" t="s">
        <v>43</v>
      </c>
      <c r="F23" s="221">
        <v>0</v>
      </c>
      <c r="G23" s="221">
        <v>0</v>
      </c>
      <c r="H23" s="118">
        <v>0</v>
      </c>
      <c r="I23" s="133">
        <v>0</v>
      </c>
      <c r="J23" s="118">
        <v>0</v>
      </c>
      <c r="K23" s="118">
        <f t="shared" si="0"/>
        <v>0</v>
      </c>
    </row>
    <row r="24" spans="1:11" ht="18" customHeight="1" x14ac:dyDescent="0.2">
      <c r="A24" s="435" t="s">
        <v>78</v>
      </c>
      <c r="B24" s="259" t="s">
        <v>44</v>
      </c>
      <c r="F24" s="221">
        <v>21.5</v>
      </c>
      <c r="G24" s="221">
        <v>20</v>
      </c>
      <c r="H24" s="118">
        <v>857</v>
      </c>
      <c r="I24" s="133">
        <v>0</v>
      </c>
      <c r="J24" s="118">
        <v>0</v>
      </c>
      <c r="K24" s="118">
        <f t="shared" si="0"/>
        <v>857</v>
      </c>
    </row>
    <row r="25" spans="1:11" ht="18" customHeight="1" x14ac:dyDescent="0.2">
      <c r="A25" s="435" t="s">
        <v>79</v>
      </c>
      <c r="B25" s="259" t="s">
        <v>5</v>
      </c>
      <c r="F25" s="221">
        <v>75.42</v>
      </c>
      <c r="G25" s="221">
        <v>33</v>
      </c>
      <c r="H25" s="118">
        <v>3009</v>
      </c>
      <c r="I25" s="133">
        <v>2166</v>
      </c>
      <c r="J25" s="118">
        <v>0</v>
      </c>
      <c r="K25" s="118">
        <f t="shared" si="0"/>
        <v>5175</v>
      </c>
    </row>
    <row r="26" spans="1:11" ht="18" customHeight="1" x14ac:dyDescent="0.2">
      <c r="A26" s="435" t="s">
        <v>80</v>
      </c>
      <c r="B26" s="259" t="s">
        <v>45</v>
      </c>
      <c r="F26" s="221">
        <v>179.58</v>
      </c>
      <c r="G26" s="221">
        <v>530</v>
      </c>
      <c r="H26" s="118">
        <v>1119</v>
      </c>
      <c r="I26" s="133">
        <v>328</v>
      </c>
      <c r="J26" s="118">
        <v>0</v>
      </c>
      <c r="K26" s="118">
        <f t="shared" si="0"/>
        <v>1447</v>
      </c>
    </row>
    <row r="27" spans="1:11" ht="18" customHeight="1" x14ac:dyDescent="0.2">
      <c r="A27" s="435" t="s">
        <v>81</v>
      </c>
      <c r="B27" s="259" t="s">
        <v>536</v>
      </c>
      <c r="F27" s="221">
        <v>0</v>
      </c>
      <c r="G27" s="221">
        <v>0</v>
      </c>
      <c r="H27" s="118">
        <v>0</v>
      </c>
      <c r="I27" s="133">
        <v>0</v>
      </c>
      <c r="J27" s="118">
        <v>0</v>
      </c>
      <c r="K27" s="118">
        <v>0</v>
      </c>
    </row>
    <row r="28" spans="1:11" ht="18" customHeight="1" x14ac:dyDescent="0.2">
      <c r="A28" s="435" t="s">
        <v>82</v>
      </c>
      <c r="B28" s="259" t="s">
        <v>47</v>
      </c>
      <c r="F28" s="221">
        <v>0</v>
      </c>
      <c r="G28" s="221">
        <v>0</v>
      </c>
      <c r="H28" s="118">
        <v>0</v>
      </c>
      <c r="I28" s="133">
        <v>0</v>
      </c>
      <c r="J28" s="118">
        <v>0</v>
      </c>
      <c r="K28" s="118">
        <f t="shared" si="0"/>
        <v>0</v>
      </c>
    </row>
    <row r="29" spans="1:11" ht="18" customHeight="1" x14ac:dyDescent="0.2">
      <c r="A29" s="435" t="s">
        <v>83</v>
      </c>
      <c r="B29" s="259" t="s">
        <v>48</v>
      </c>
      <c r="F29" s="221">
        <v>348.8</v>
      </c>
      <c r="G29" s="221">
        <v>897</v>
      </c>
      <c r="H29" s="118">
        <v>386145</v>
      </c>
      <c r="I29" s="133">
        <v>7276</v>
      </c>
      <c r="J29" s="118">
        <v>0</v>
      </c>
      <c r="K29" s="118">
        <f>(H29+I29)-J29</f>
        <v>393421</v>
      </c>
    </row>
    <row r="30" spans="1:11" ht="18" customHeight="1" x14ac:dyDescent="0.2">
      <c r="A30" s="435" t="s">
        <v>84</v>
      </c>
      <c r="B30" s="456" t="s">
        <v>756</v>
      </c>
      <c r="C30" s="457"/>
      <c r="D30" s="458"/>
      <c r="F30" s="221">
        <v>700</v>
      </c>
      <c r="G30" s="221">
        <v>153</v>
      </c>
      <c r="H30" s="118">
        <v>16295</v>
      </c>
      <c r="I30" s="133">
        <v>0</v>
      </c>
      <c r="J30" s="118">
        <v>0</v>
      </c>
      <c r="K30" s="118">
        <f t="shared" si="0"/>
        <v>16295</v>
      </c>
    </row>
    <row r="31" spans="1:11" ht="18" customHeight="1" x14ac:dyDescent="0.2">
      <c r="A31" s="435" t="s">
        <v>133</v>
      </c>
      <c r="B31" s="456"/>
      <c r="C31" s="457"/>
      <c r="D31" s="458"/>
      <c r="F31" s="221"/>
      <c r="G31" s="221"/>
      <c r="H31" s="118"/>
      <c r="I31" s="133">
        <v>0</v>
      </c>
      <c r="J31" s="118"/>
      <c r="K31" s="118">
        <f t="shared" si="0"/>
        <v>0</v>
      </c>
    </row>
    <row r="32" spans="1:11" ht="18" customHeight="1" x14ac:dyDescent="0.2">
      <c r="A32" s="435" t="s">
        <v>134</v>
      </c>
      <c r="B32" s="459"/>
      <c r="C32" s="460"/>
      <c r="D32" s="461"/>
      <c r="F32" s="221"/>
      <c r="G32" s="255" t="s">
        <v>85</v>
      </c>
      <c r="H32" s="118"/>
      <c r="I32" s="133">
        <v>0</v>
      </c>
      <c r="J32" s="118"/>
      <c r="K32" s="118">
        <f t="shared" si="0"/>
        <v>0</v>
      </c>
    </row>
    <row r="33" spans="1:11" ht="18" customHeight="1" x14ac:dyDescent="0.2">
      <c r="A33" s="435" t="s">
        <v>135</v>
      </c>
      <c r="B33" s="459"/>
      <c r="C33" s="460"/>
      <c r="D33" s="461"/>
      <c r="F33" s="221"/>
      <c r="G33" s="255" t="s">
        <v>85</v>
      </c>
      <c r="H33" s="118"/>
      <c r="I33" s="133">
        <v>0</v>
      </c>
      <c r="J33" s="118"/>
      <c r="K33" s="118">
        <f t="shared" si="0"/>
        <v>0</v>
      </c>
    </row>
    <row r="34" spans="1:11" ht="18" customHeight="1" x14ac:dyDescent="0.2">
      <c r="A34" s="435" t="s">
        <v>136</v>
      </c>
      <c r="B34" s="456"/>
      <c r="C34" s="457"/>
      <c r="D34" s="458"/>
      <c r="F34" s="221"/>
      <c r="G34" s="255" t="s">
        <v>85</v>
      </c>
      <c r="H34" s="118"/>
      <c r="I34" s="133">
        <v>0</v>
      </c>
      <c r="J34" s="118"/>
      <c r="K34" s="118">
        <f t="shared" si="0"/>
        <v>0</v>
      </c>
    </row>
    <row r="35" spans="1:11" ht="18" customHeight="1" x14ac:dyDescent="0.2">
      <c r="K35" s="406"/>
    </row>
    <row r="36" spans="1:11" ht="18" customHeight="1" x14ac:dyDescent="0.2">
      <c r="A36" s="455" t="s">
        <v>137</v>
      </c>
      <c r="B36" s="421" t="s">
        <v>138</v>
      </c>
      <c r="E36" s="421" t="s">
        <v>7</v>
      </c>
      <c r="F36" s="221">
        <f t="shared" ref="F36:K36" si="1">SUM(F21:F34)</f>
        <v>1918.87</v>
      </c>
      <c r="G36" s="221">
        <f t="shared" si="1"/>
        <v>3784</v>
      </c>
      <c r="H36" s="221">
        <f t="shared" si="1"/>
        <v>425158</v>
      </c>
      <c r="I36" s="118">
        <f t="shared" si="1"/>
        <v>18031</v>
      </c>
      <c r="J36" s="118">
        <f t="shared" si="1"/>
        <v>0</v>
      </c>
      <c r="K36" s="118">
        <f t="shared" si="1"/>
        <v>443189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41.6</v>
      </c>
      <c r="G40" s="221">
        <v>6</v>
      </c>
      <c r="H40" s="118">
        <v>3896</v>
      </c>
      <c r="I40" s="133">
        <v>2805</v>
      </c>
      <c r="J40" s="118">
        <v>0</v>
      </c>
      <c r="K40" s="118">
        <f t="shared" ref="K40:K47" si="2">(H40+I40)-J40</f>
        <v>6701</v>
      </c>
    </row>
    <row r="41" spans="1:11" ht="18" customHeight="1" x14ac:dyDescent="0.2">
      <c r="A41" s="435" t="s">
        <v>88</v>
      </c>
      <c r="B41" s="465" t="s">
        <v>50</v>
      </c>
      <c r="C41" s="466"/>
      <c r="F41" s="221">
        <v>1670.5</v>
      </c>
      <c r="G41" s="221">
        <v>171</v>
      </c>
      <c r="H41" s="118">
        <v>69283</v>
      </c>
      <c r="I41" s="133">
        <v>49884</v>
      </c>
      <c r="J41" s="118">
        <v>0</v>
      </c>
      <c r="K41" s="118">
        <f t="shared" si="2"/>
        <v>119167</v>
      </c>
    </row>
    <row r="42" spans="1:11" ht="18" customHeight="1" x14ac:dyDescent="0.2">
      <c r="A42" s="435" t="s">
        <v>89</v>
      </c>
      <c r="B42" s="419" t="s">
        <v>11</v>
      </c>
      <c r="F42" s="221">
        <v>2721.6</v>
      </c>
      <c r="G42" s="221">
        <v>67</v>
      </c>
      <c r="H42" s="118">
        <v>97515</v>
      </c>
      <c r="I42" s="133">
        <v>70210</v>
      </c>
      <c r="J42" s="118">
        <v>0</v>
      </c>
      <c r="K42" s="118">
        <f t="shared" si="2"/>
        <v>167725</v>
      </c>
    </row>
    <row r="43" spans="1:11" ht="18" customHeight="1" x14ac:dyDescent="0.2">
      <c r="A43" s="435" t="s">
        <v>90</v>
      </c>
      <c r="B43" s="467" t="s">
        <v>10</v>
      </c>
      <c r="C43" s="468"/>
      <c r="D43" s="468"/>
      <c r="F43" s="221">
        <v>60</v>
      </c>
      <c r="G43" s="221">
        <v>15</v>
      </c>
      <c r="H43" s="118">
        <v>2048</v>
      </c>
      <c r="I43" s="133">
        <v>0</v>
      </c>
      <c r="J43" s="118">
        <v>0</v>
      </c>
      <c r="K43" s="118">
        <f t="shared" si="2"/>
        <v>2048</v>
      </c>
    </row>
    <row r="44" spans="1:11" ht="18" customHeight="1" x14ac:dyDescent="0.2">
      <c r="A44" s="435" t="s">
        <v>91</v>
      </c>
      <c r="B44" s="456"/>
      <c r="C44" s="457"/>
      <c r="D44" s="458"/>
      <c r="F44" s="407"/>
      <c r="G44" s="407"/>
      <c r="H44" s="407"/>
      <c r="I44" s="408">
        <v>0</v>
      </c>
      <c r="J44" s="407"/>
      <c r="K44" s="134">
        <f t="shared" si="2"/>
        <v>0</v>
      </c>
    </row>
    <row r="45" spans="1:11" ht="18" customHeight="1" x14ac:dyDescent="0.2">
      <c r="A45" s="435" t="s">
        <v>139</v>
      </c>
      <c r="B45" s="456"/>
      <c r="C45" s="457"/>
      <c r="D45" s="458"/>
      <c r="F45" s="221"/>
      <c r="G45" s="221"/>
      <c r="H45" s="118"/>
      <c r="I45" s="133">
        <v>0</v>
      </c>
      <c r="J45" s="118"/>
      <c r="K45" s="118">
        <f t="shared" si="2"/>
        <v>0</v>
      </c>
    </row>
    <row r="46" spans="1:11" ht="18" customHeight="1" x14ac:dyDescent="0.2">
      <c r="A46" s="435" t="s">
        <v>140</v>
      </c>
      <c r="B46" s="456"/>
      <c r="C46" s="457"/>
      <c r="D46" s="458"/>
      <c r="F46" s="221"/>
      <c r="G46" s="221"/>
      <c r="H46" s="118"/>
      <c r="I46" s="133">
        <v>0</v>
      </c>
      <c r="J46" s="118"/>
      <c r="K46" s="118">
        <f t="shared" si="2"/>
        <v>0</v>
      </c>
    </row>
    <row r="47" spans="1:11" ht="18" customHeight="1" x14ac:dyDescent="0.2">
      <c r="A47" s="435" t="s">
        <v>141</v>
      </c>
      <c r="B47" s="456"/>
      <c r="C47" s="457"/>
      <c r="D47" s="458"/>
      <c r="F47" s="221"/>
      <c r="G47" s="221"/>
      <c r="H47" s="118"/>
      <c r="I47" s="133">
        <v>0</v>
      </c>
      <c r="J47" s="118"/>
      <c r="K47" s="118">
        <f t="shared" si="2"/>
        <v>0</v>
      </c>
    </row>
    <row r="49" spans="1:11" ht="18" customHeight="1" x14ac:dyDescent="0.2">
      <c r="A49" s="455" t="s">
        <v>142</v>
      </c>
      <c r="B49" s="421" t="s">
        <v>143</v>
      </c>
      <c r="E49" s="421" t="s">
        <v>7</v>
      </c>
      <c r="F49" s="409">
        <f t="shared" ref="F49:K49" si="3">SUM(F40:F47)</f>
        <v>4493.7</v>
      </c>
      <c r="G49" s="409">
        <f t="shared" si="3"/>
        <v>259</v>
      </c>
      <c r="H49" s="118">
        <f t="shared" si="3"/>
        <v>172742</v>
      </c>
      <c r="I49" s="118">
        <f t="shared" si="3"/>
        <v>122899</v>
      </c>
      <c r="J49" s="118">
        <f t="shared" si="3"/>
        <v>0</v>
      </c>
      <c r="K49" s="118">
        <f t="shared" si="3"/>
        <v>295641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c r="C53" s="411"/>
      <c r="D53" s="412"/>
      <c r="F53" s="221"/>
      <c r="G53" s="221"/>
      <c r="H53" s="118"/>
      <c r="I53" s="133">
        <v>0</v>
      </c>
      <c r="J53" s="118"/>
      <c r="K53" s="118">
        <f t="shared" ref="K53:K62" si="4">(H53+I53)-J53</f>
        <v>0</v>
      </c>
    </row>
    <row r="54" spans="1:11" ht="18" customHeight="1" x14ac:dyDescent="0.2">
      <c r="A54" s="435" t="s">
        <v>93</v>
      </c>
      <c r="B54" s="420"/>
      <c r="C54" s="414"/>
      <c r="D54" s="415"/>
      <c r="F54" s="221"/>
      <c r="G54" s="221"/>
      <c r="H54" s="118"/>
      <c r="I54" s="133">
        <v>0</v>
      </c>
      <c r="J54" s="118"/>
      <c r="K54" s="118">
        <f t="shared" si="4"/>
        <v>0</v>
      </c>
    </row>
    <row r="55" spans="1:11" ht="18" customHeight="1" x14ac:dyDescent="0.2">
      <c r="A55" s="435" t="s">
        <v>94</v>
      </c>
      <c r="B55" s="418" t="s">
        <v>325</v>
      </c>
      <c r="C55" s="417"/>
      <c r="D55" s="412"/>
      <c r="F55" s="221">
        <v>72</v>
      </c>
      <c r="G55" s="221">
        <v>36</v>
      </c>
      <c r="H55" s="118">
        <v>10277159</v>
      </c>
      <c r="I55" s="133">
        <v>2699</v>
      </c>
      <c r="J55" s="118">
        <v>5091257</v>
      </c>
      <c r="K55" s="118">
        <f t="shared" si="4"/>
        <v>5188601</v>
      </c>
    </row>
    <row r="56" spans="1:11" ht="18" customHeight="1" x14ac:dyDescent="0.2">
      <c r="A56" s="435" t="s">
        <v>95</v>
      </c>
      <c r="B56" s="418"/>
      <c r="C56" s="417"/>
      <c r="D56" s="412"/>
      <c r="F56" s="221"/>
      <c r="G56" s="221"/>
      <c r="H56" s="118"/>
      <c r="I56" s="133">
        <v>0</v>
      </c>
      <c r="J56" s="118"/>
      <c r="K56" s="118">
        <f t="shared" si="4"/>
        <v>0</v>
      </c>
    </row>
    <row r="57" spans="1:11" ht="18" customHeight="1" x14ac:dyDescent="0.2">
      <c r="A57" s="435" t="s">
        <v>96</v>
      </c>
      <c r="B57" s="418"/>
      <c r="C57" s="417"/>
      <c r="D57" s="412"/>
      <c r="F57" s="221"/>
      <c r="G57" s="221"/>
      <c r="H57" s="118"/>
      <c r="I57" s="133">
        <v>0</v>
      </c>
      <c r="J57" s="118"/>
      <c r="K57" s="118">
        <f t="shared" si="4"/>
        <v>0</v>
      </c>
    </row>
    <row r="58" spans="1:11" ht="18" customHeight="1" x14ac:dyDescent="0.2">
      <c r="A58" s="435" t="s">
        <v>97</v>
      </c>
      <c r="B58" s="420"/>
      <c r="C58" s="414"/>
      <c r="D58" s="415"/>
      <c r="F58" s="221"/>
      <c r="G58" s="221"/>
      <c r="H58" s="118"/>
      <c r="I58" s="133">
        <v>0</v>
      </c>
      <c r="J58" s="118"/>
      <c r="K58" s="118">
        <f t="shared" si="4"/>
        <v>0</v>
      </c>
    </row>
    <row r="59" spans="1:11" ht="18" customHeight="1" x14ac:dyDescent="0.2">
      <c r="A59" s="435" t="s">
        <v>98</v>
      </c>
      <c r="B59" s="418" t="s">
        <v>689</v>
      </c>
      <c r="C59" s="417"/>
      <c r="D59" s="412"/>
      <c r="F59" s="221">
        <v>17307.66</v>
      </c>
      <c r="G59" s="221">
        <v>88</v>
      </c>
      <c r="H59" s="118">
        <v>615778</v>
      </c>
      <c r="I59" s="133">
        <v>0</v>
      </c>
      <c r="J59" s="118">
        <v>568449</v>
      </c>
      <c r="K59" s="118">
        <f t="shared" si="4"/>
        <v>47329</v>
      </c>
    </row>
    <row r="60" spans="1:11" ht="18" customHeight="1" x14ac:dyDescent="0.2">
      <c r="A60" s="435" t="s">
        <v>99</v>
      </c>
      <c r="B60" s="420"/>
      <c r="C60" s="414"/>
      <c r="D60" s="415"/>
      <c r="F60" s="221"/>
      <c r="G60" s="221"/>
      <c r="H60" s="118"/>
      <c r="I60" s="133">
        <v>0</v>
      </c>
      <c r="J60" s="118"/>
      <c r="K60" s="118">
        <f t="shared" si="4"/>
        <v>0</v>
      </c>
    </row>
    <row r="61" spans="1:11" ht="18" customHeight="1" x14ac:dyDescent="0.2">
      <c r="A61" s="435" t="s">
        <v>100</v>
      </c>
      <c r="B61" s="420" t="s">
        <v>390</v>
      </c>
      <c r="C61" s="414"/>
      <c r="D61" s="415"/>
      <c r="F61" s="221">
        <v>0</v>
      </c>
      <c r="G61" s="221">
        <v>0</v>
      </c>
      <c r="H61" s="118">
        <v>18567</v>
      </c>
      <c r="I61" s="133">
        <v>0</v>
      </c>
      <c r="J61" s="118">
        <v>0</v>
      </c>
      <c r="K61" s="118">
        <f t="shared" si="4"/>
        <v>18567</v>
      </c>
    </row>
    <row r="62" spans="1:11" ht="18" customHeight="1" x14ac:dyDescent="0.2">
      <c r="A62" s="435" t="s">
        <v>101</v>
      </c>
      <c r="B62" s="418"/>
      <c r="C62" s="417"/>
      <c r="D62" s="412"/>
      <c r="F62" s="221"/>
      <c r="G62" s="221"/>
      <c r="H62" s="118"/>
      <c r="I62" s="133">
        <v>0</v>
      </c>
      <c r="J62" s="118"/>
      <c r="K62" s="118">
        <f t="shared" si="4"/>
        <v>0</v>
      </c>
    </row>
    <row r="63" spans="1:11" ht="18" customHeight="1" x14ac:dyDescent="0.2">
      <c r="A63" s="435"/>
      <c r="I63" s="129"/>
    </row>
    <row r="64" spans="1:11" ht="18" customHeight="1" x14ac:dyDescent="0.2">
      <c r="A64" s="435" t="s">
        <v>144</v>
      </c>
      <c r="B64" s="421" t="s">
        <v>145</v>
      </c>
      <c r="E64" s="421" t="s">
        <v>7</v>
      </c>
      <c r="F64" s="221">
        <f t="shared" ref="F64:K64" si="5">SUM(F53:F62)</f>
        <v>17379.66</v>
      </c>
      <c r="G64" s="221">
        <f t="shared" si="5"/>
        <v>124</v>
      </c>
      <c r="H64" s="118">
        <f t="shared" si="5"/>
        <v>10911504</v>
      </c>
      <c r="I64" s="118">
        <f t="shared" si="5"/>
        <v>2699</v>
      </c>
      <c r="J64" s="118">
        <f t="shared" si="5"/>
        <v>5659706</v>
      </c>
      <c r="K64" s="118">
        <f t="shared" si="5"/>
        <v>5254497</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0</v>
      </c>
      <c r="G68" s="122">
        <v>0</v>
      </c>
      <c r="H68" s="122">
        <v>7568</v>
      </c>
      <c r="I68" s="133">
        <v>0</v>
      </c>
      <c r="J68" s="122">
        <v>0</v>
      </c>
      <c r="K68" s="118">
        <f>(H68+I68)-J68</f>
        <v>7568</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6">SUM(F68:F72)</f>
        <v>0</v>
      </c>
      <c r="G74" s="122">
        <f t="shared" si="6"/>
        <v>0</v>
      </c>
      <c r="H74" s="122">
        <f t="shared" si="6"/>
        <v>7568</v>
      </c>
      <c r="I74" s="133">
        <f t="shared" si="6"/>
        <v>0</v>
      </c>
      <c r="J74" s="122">
        <f t="shared" si="6"/>
        <v>0</v>
      </c>
      <c r="K74" s="118">
        <f t="shared" si="6"/>
        <v>7568</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2904.73</v>
      </c>
      <c r="G79" s="221">
        <v>28628</v>
      </c>
      <c r="H79" s="118">
        <v>344322</v>
      </c>
      <c r="I79" s="133">
        <v>3749</v>
      </c>
      <c r="J79" s="118">
        <v>162403</v>
      </c>
      <c r="K79" s="118">
        <f>(H79+I79)-J79</f>
        <v>185668</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7">SUM(F77:F80)</f>
        <v>2904.73</v>
      </c>
      <c r="G82" s="122">
        <f t="shared" si="7"/>
        <v>28628</v>
      </c>
      <c r="H82" s="118">
        <f t="shared" si="7"/>
        <v>344322</v>
      </c>
      <c r="I82" s="118">
        <f t="shared" si="7"/>
        <v>3749</v>
      </c>
      <c r="J82" s="118">
        <f t="shared" si="7"/>
        <v>162403</v>
      </c>
      <c r="K82" s="118">
        <f t="shared" si="7"/>
        <v>185668</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v>0</v>
      </c>
      <c r="J86" s="118"/>
      <c r="K86" s="118">
        <f t="shared" ref="K86:K96" si="8">(H86+I86)-J86</f>
        <v>0</v>
      </c>
    </row>
    <row r="87" spans="1:11" ht="18" customHeight="1" x14ac:dyDescent="0.2">
      <c r="A87" s="435" t="s">
        <v>114</v>
      </c>
      <c r="B87" s="419" t="s">
        <v>14</v>
      </c>
      <c r="F87" s="221">
        <v>70.5</v>
      </c>
      <c r="G87" s="221">
        <v>0</v>
      </c>
      <c r="H87" s="118">
        <v>14634</v>
      </c>
      <c r="I87" s="133">
        <v>0</v>
      </c>
      <c r="J87" s="118">
        <v>0</v>
      </c>
      <c r="K87" s="118">
        <f t="shared" si="8"/>
        <v>14634</v>
      </c>
    </row>
    <row r="88" spans="1:11" ht="18" customHeight="1" x14ac:dyDescent="0.2">
      <c r="A88" s="435" t="s">
        <v>115</v>
      </c>
      <c r="B88" s="419" t="s">
        <v>116</v>
      </c>
      <c r="F88" s="221">
        <v>119</v>
      </c>
      <c r="G88" s="221">
        <v>73</v>
      </c>
      <c r="H88" s="118">
        <v>10850</v>
      </c>
      <c r="I88" s="133">
        <v>0</v>
      </c>
      <c r="J88" s="118">
        <v>0</v>
      </c>
      <c r="K88" s="118">
        <f t="shared" si="8"/>
        <v>10850</v>
      </c>
    </row>
    <row r="89" spans="1:11" ht="18" customHeight="1" x14ac:dyDescent="0.2">
      <c r="A89" s="435" t="s">
        <v>117</v>
      </c>
      <c r="B89" s="419" t="s">
        <v>58</v>
      </c>
      <c r="F89" s="221"/>
      <c r="G89" s="221"/>
      <c r="H89" s="118"/>
      <c r="I89" s="133">
        <v>0</v>
      </c>
      <c r="J89" s="118"/>
      <c r="K89" s="118">
        <f t="shared" si="8"/>
        <v>0</v>
      </c>
    </row>
    <row r="90" spans="1:11" ht="18" customHeight="1" x14ac:dyDescent="0.2">
      <c r="A90" s="435" t="s">
        <v>118</v>
      </c>
      <c r="B90" s="465" t="s">
        <v>59</v>
      </c>
      <c r="C90" s="466"/>
      <c r="F90" s="221">
        <v>18</v>
      </c>
      <c r="G90" s="221">
        <v>20</v>
      </c>
      <c r="H90" s="118">
        <v>1465</v>
      </c>
      <c r="I90" s="133">
        <v>533</v>
      </c>
      <c r="J90" s="118">
        <v>0</v>
      </c>
      <c r="K90" s="118">
        <f t="shared" si="8"/>
        <v>1998</v>
      </c>
    </row>
    <row r="91" spans="1:11" ht="18" customHeight="1" x14ac:dyDescent="0.2">
      <c r="A91" s="435" t="s">
        <v>119</v>
      </c>
      <c r="B91" s="419" t="s">
        <v>60</v>
      </c>
      <c r="F91" s="221"/>
      <c r="G91" s="221"/>
      <c r="H91" s="118"/>
      <c r="I91" s="133">
        <v>0</v>
      </c>
      <c r="J91" s="118"/>
      <c r="K91" s="118">
        <f t="shared" si="8"/>
        <v>0</v>
      </c>
    </row>
    <row r="92" spans="1:11" ht="18" customHeight="1" x14ac:dyDescent="0.2">
      <c r="A92" s="435" t="s">
        <v>120</v>
      </c>
      <c r="B92" s="419" t="s">
        <v>121</v>
      </c>
      <c r="F92" s="257"/>
      <c r="G92" s="257"/>
      <c r="H92" s="429"/>
      <c r="I92" s="133">
        <v>0</v>
      </c>
      <c r="J92" s="429"/>
      <c r="K92" s="118">
        <f t="shared" si="8"/>
        <v>0</v>
      </c>
    </row>
    <row r="93" spans="1:11" ht="18" customHeight="1" x14ac:dyDescent="0.2">
      <c r="A93" s="435" t="s">
        <v>122</v>
      </c>
      <c r="B93" s="419" t="s">
        <v>123</v>
      </c>
      <c r="F93" s="221">
        <v>866</v>
      </c>
      <c r="G93" s="221">
        <v>157</v>
      </c>
      <c r="H93" s="118">
        <v>15996</v>
      </c>
      <c r="I93" s="133">
        <v>10206</v>
      </c>
      <c r="J93" s="118">
        <v>0</v>
      </c>
      <c r="K93" s="118">
        <f t="shared" si="8"/>
        <v>26202</v>
      </c>
    </row>
    <row r="94" spans="1:11" ht="18" customHeight="1" x14ac:dyDescent="0.2">
      <c r="A94" s="435" t="s">
        <v>124</v>
      </c>
      <c r="B94" s="418"/>
      <c r="C94" s="417"/>
      <c r="D94" s="412"/>
      <c r="F94" s="221"/>
      <c r="G94" s="221"/>
      <c r="H94" s="118"/>
      <c r="I94" s="133">
        <v>0</v>
      </c>
      <c r="J94" s="118"/>
      <c r="K94" s="118">
        <f t="shared" si="8"/>
        <v>0</v>
      </c>
    </row>
    <row r="95" spans="1:11" ht="18" customHeight="1" x14ac:dyDescent="0.2">
      <c r="A95" s="435" t="s">
        <v>125</v>
      </c>
      <c r="B95" s="418"/>
      <c r="C95" s="417"/>
      <c r="D95" s="412"/>
      <c r="F95" s="221"/>
      <c r="G95" s="221"/>
      <c r="H95" s="118"/>
      <c r="I95" s="133">
        <v>0</v>
      </c>
      <c r="J95" s="118"/>
      <c r="K95" s="118">
        <f t="shared" si="8"/>
        <v>0</v>
      </c>
    </row>
    <row r="96" spans="1:11" ht="18" customHeight="1" x14ac:dyDescent="0.2">
      <c r="A96" s="435" t="s">
        <v>126</v>
      </c>
      <c r="B96" s="418"/>
      <c r="C96" s="417"/>
      <c r="D96" s="412"/>
      <c r="F96" s="221"/>
      <c r="G96" s="221"/>
      <c r="H96" s="118"/>
      <c r="I96" s="133">
        <v>0</v>
      </c>
      <c r="J96" s="118"/>
      <c r="K96" s="118">
        <f t="shared" si="8"/>
        <v>0</v>
      </c>
    </row>
    <row r="97" spans="1:11" ht="18" customHeight="1" x14ac:dyDescent="0.2">
      <c r="A97" s="435"/>
      <c r="B97" s="419"/>
    </row>
    <row r="98" spans="1:11" ht="18" customHeight="1" x14ac:dyDescent="0.2">
      <c r="A98" s="455" t="s">
        <v>150</v>
      </c>
      <c r="B98" s="421" t="s">
        <v>151</v>
      </c>
      <c r="E98" s="421" t="s">
        <v>7</v>
      </c>
      <c r="F98" s="221">
        <f t="shared" ref="F98:K98" si="9">SUM(F86:F96)</f>
        <v>1073.5</v>
      </c>
      <c r="G98" s="221">
        <f t="shared" si="9"/>
        <v>250</v>
      </c>
      <c r="H98" s="221">
        <f t="shared" si="9"/>
        <v>42945</v>
      </c>
      <c r="I98" s="221">
        <f t="shared" si="9"/>
        <v>10739</v>
      </c>
      <c r="J98" s="221">
        <f t="shared" si="9"/>
        <v>0</v>
      </c>
      <c r="K98" s="221">
        <f t="shared" si="9"/>
        <v>53684</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2132</v>
      </c>
      <c r="G102" s="221">
        <v>0</v>
      </c>
      <c r="H102" s="118">
        <v>76252</v>
      </c>
      <c r="I102" s="133">
        <v>0</v>
      </c>
      <c r="J102" s="118">
        <v>0</v>
      </c>
      <c r="K102" s="118">
        <f>(H102+I102)-J102</f>
        <v>76252</v>
      </c>
    </row>
    <row r="103" spans="1:11" ht="18" customHeight="1" x14ac:dyDescent="0.2">
      <c r="A103" s="435" t="s">
        <v>132</v>
      </c>
      <c r="B103" s="465" t="s">
        <v>62</v>
      </c>
      <c r="C103" s="465"/>
      <c r="F103" s="221">
        <v>8</v>
      </c>
      <c r="G103" s="221">
        <v>76</v>
      </c>
      <c r="H103" s="118">
        <v>1508</v>
      </c>
      <c r="I103" s="133">
        <v>0</v>
      </c>
      <c r="J103" s="118">
        <v>0</v>
      </c>
      <c r="K103" s="118">
        <f>(H103+I103)-J103</f>
        <v>1508</v>
      </c>
    </row>
    <row r="104" spans="1:11" ht="18" customHeight="1" x14ac:dyDescent="0.2">
      <c r="A104" s="435" t="s">
        <v>128</v>
      </c>
      <c r="B104" s="416" t="s">
        <v>327</v>
      </c>
      <c r="C104" s="417"/>
      <c r="D104" s="412"/>
      <c r="F104" s="221">
        <v>0</v>
      </c>
      <c r="G104" s="221">
        <v>0</v>
      </c>
      <c r="H104" s="118">
        <v>1250</v>
      </c>
      <c r="I104" s="133">
        <v>0</v>
      </c>
      <c r="J104" s="118">
        <v>0</v>
      </c>
      <c r="K104" s="118">
        <f>(H104+I104)-J104</f>
        <v>1250</v>
      </c>
    </row>
    <row r="105" spans="1:11" ht="18" customHeight="1" x14ac:dyDescent="0.2">
      <c r="A105" s="435" t="s">
        <v>127</v>
      </c>
      <c r="B105" s="418"/>
      <c r="C105" s="417"/>
      <c r="D105" s="412"/>
      <c r="F105" s="221"/>
      <c r="G105" s="221"/>
      <c r="H105" s="118"/>
      <c r="I105" s="133">
        <v>0</v>
      </c>
      <c r="J105" s="118"/>
      <c r="K105" s="118">
        <f>(H105+I105)-J105</f>
        <v>0</v>
      </c>
    </row>
    <row r="106" spans="1:11" ht="18" customHeight="1" x14ac:dyDescent="0.2">
      <c r="A106" s="435" t="s">
        <v>129</v>
      </c>
      <c r="B106" s="418"/>
      <c r="C106" s="417"/>
      <c r="D106" s="412"/>
      <c r="F106" s="221"/>
      <c r="G106" s="221"/>
      <c r="H106" s="118"/>
      <c r="I106" s="133">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0">SUM(F102:F106)</f>
        <v>2140</v>
      </c>
      <c r="G108" s="221">
        <f t="shared" si="10"/>
        <v>76</v>
      </c>
      <c r="H108" s="118">
        <f t="shared" si="10"/>
        <v>79010</v>
      </c>
      <c r="I108" s="118">
        <f t="shared" si="10"/>
        <v>0</v>
      </c>
      <c r="J108" s="118">
        <f t="shared" si="10"/>
        <v>0</v>
      </c>
      <c r="K108" s="118">
        <f t="shared" si="10"/>
        <v>79010</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1822394</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0.72</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157971001</v>
      </c>
    </row>
    <row r="118" spans="1:6" ht="18" customHeight="1" x14ac:dyDescent="0.2">
      <c r="A118" s="435" t="s">
        <v>173</v>
      </c>
      <c r="B118" s="259" t="s">
        <v>18</v>
      </c>
      <c r="F118" s="118">
        <v>2800518</v>
      </c>
    </row>
    <row r="119" spans="1:6" ht="18" customHeight="1" x14ac:dyDescent="0.2">
      <c r="A119" s="435" t="s">
        <v>174</v>
      </c>
      <c r="B119" s="421" t="s">
        <v>19</v>
      </c>
      <c r="F119" s="118">
        <f>SUM(F117:F118)</f>
        <v>160771519</v>
      </c>
    </row>
    <row r="120" spans="1:6" ht="18" customHeight="1" x14ac:dyDescent="0.2">
      <c r="A120" s="435"/>
      <c r="B120" s="421"/>
    </row>
    <row r="121" spans="1:6" ht="18" customHeight="1" x14ac:dyDescent="0.2">
      <c r="A121" s="435" t="s">
        <v>167</v>
      </c>
      <c r="B121" s="421" t="s">
        <v>36</v>
      </c>
      <c r="F121" s="118">
        <v>164054488</v>
      </c>
    </row>
    <row r="122" spans="1:6" ht="18" customHeight="1" x14ac:dyDescent="0.2">
      <c r="A122" s="435"/>
    </row>
    <row r="123" spans="1:6" ht="18" customHeight="1" x14ac:dyDescent="0.2">
      <c r="A123" s="435" t="s">
        <v>175</v>
      </c>
      <c r="B123" s="421" t="s">
        <v>20</v>
      </c>
      <c r="F123" s="118">
        <v>-12660332</v>
      </c>
    </row>
    <row r="124" spans="1:6" ht="18" customHeight="1" x14ac:dyDescent="0.2">
      <c r="A124" s="435"/>
    </row>
    <row r="125" spans="1:6" ht="18" customHeight="1" x14ac:dyDescent="0.2">
      <c r="A125" s="435" t="s">
        <v>176</v>
      </c>
      <c r="B125" s="421" t="s">
        <v>21</v>
      </c>
      <c r="F125" s="118">
        <v>3001168</v>
      </c>
    </row>
    <row r="126" spans="1:6" ht="18" customHeight="1" x14ac:dyDescent="0.2">
      <c r="A126" s="435"/>
    </row>
    <row r="127" spans="1:6" ht="18" customHeight="1" x14ac:dyDescent="0.2">
      <c r="A127" s="435" t="s">
        <v>177</v>
      </c>
      <c r="B127" s="421" t="s">
        <v>22</v>
      </c>
      <c r="F127" s="118">
        <v>-9659164</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v>0</v>
      </c>
      <c r="G131" s="221">
        <v>87</v>
      </c>
      <c r="H131" s="118">
        <v>12201</v>
      </c>
      <c r="I131" s="133">
        <v>0</v>
      </c>
      <c r="J131" s="118">
        <v>12201</v>
      </c>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1">SUM(F131:F135)</f>
        <v>0</v>
      </c>
      <c r="G137" s="221">
        <f t="shared" si="11"/>
        <v>87</v>
      </c>
      <c r="H137" s="118">
        <f t="shared" si="11"/>
        <v>12201</v>
      </c>
      <c r="I137" s="118">
        <f t="shared" si="11"/>
        <v>0</v>
      </c>
      <c r="J137" s="118">
        <f t="shared" si="11"/>
        <v>12201</v>
      </c>
      <c r="K137" s="118">
        <f t="shared" si="11"/>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2">F36</f>
        <v>1918.87</v>
      </c>
      <c r="G141" s="422">
        <f t="shared" si="12"/>
        <v>3784</v>
      </c>
      <c r="H141" s="422">
        <f t="shared" si="12"/>
        <v>425158</v>
      </c>
      <c r="I141" s="422">
        <f t="shared" si="12"/>
        <v>18031</v>
      </c>
      <c r="J141" s="422">
        <f t="shared" si="12"/>
        <v>0</v>
      </c>
      <c r="K141" s="422">
        <f t="shared" si="12"/>
        <v>443189</v>
      </c>
    </row>
    <row r="142" spans="1:11" ht="18" customHeight="1" x14ac:dyDescent="0.2">
      <c r="A142" s="435" t="s">
        <v>142</v>
      </c>
      <c r="B142" s="421" t="s">
        <v>65</v>
      </c>
      <c r="F142" s="422">
        <f t="shared" ref="F142:K142" si="13">F49</f>
        <v>4493.7</v>
      </c>
      <c r="G142" s="422">
        <f t="shared" si="13"/>
        <v>259</v>
      </c>
      <c r="H142" s="422">
        <f t="shared" si="13"/>
        <v>172742</v>
      </c>
      <c r="I142" s="422">
        <f t="shared" si="13"/>
        <v>122899</v>
      </c>
      <c r="J142" s="422">
        <f t="shared" si="13"/>
        <v>0</v>
      </c>
      <c r="K142" s="422">
        <f t="shared" si="13"/>
        <v>295641</v>
      </c>
    </row>
    <row r="143" spans="1:11" ht="18" customHeight="1" x14ac:dyDescent="0.2">
      <c r="A143" s="435" t="s">
        <v>144</v>
      </c>
      <c r="B143" s="421" t="s">
        <v>66</v>
      </c>
      <c r="F143" s="422">
        <f t="shared" ref="F143:K143" si="14">F64</f>
        <v>17379.66</v>
      </c>
      <c r="G143" s="422">
        <f t="shared" si="14"/>
        <v>124</v>
      </c>
      <c r="H143" s="422">
        <f t="shared" si="14"/>
        <v>10911504</v>
      </c>
      <c r="I143" s="422">
        <f t="shared" si="14"/>
        <v>2699</v>
      </c>
      <c r="J143" s="422">
        <f t="shared" si="14"/>
        <v>5659706</v>
      </c>
      <c r="K143" s="422">
        <f t="shared" si="14"/>
        <v>5254497</v>
      </c>
    </row>
    <row r="144" spans="1:11" ht="18" customHeight="1" x14ac:dyDescent="0.2">
      <c r="A144" s="435" t="s">
        <v>146</v>
      </c>
      <c r="B144" s="421" t="s">
        <v>67</v>
      </c>
      <c r="F144" s="422">
        <f t="shared" ref="F144:K144" si="15">F74</f>
        <v>0</v>
      </c>
      <c r="G144" s="422">
        <f t="shared" si="15"/>
        <v>0</v>
      </c>
      <c r="H144" s="422">
        <f t="shared" si="15"/>
        <v>7568</v>
      </c>
      <c r="I144" s="422">
        <f t="shared" si="15"/>
        <v>0</v>
      </c>
      <c r="J144" s="422">
        <f t="shared" si="15"/>
        <v>0</v>
      </c>
      <c r="K144" s="422">
        <f t="shared" si="15"/>
        <v>7568</v>
      </c>
    </row>
    <row r="145" spans="1:11" ht="18" customHeight="1" x14ac:dyDescent="0.2">
      <c r="A145" s="435" t="s">
        <v>148</v>
      </c>
      <c r="B145" s="421" t="s">
        <v>68</v>
      </c>
      <c r="F145" s="422">
        <f t="shared" ref="F145:K145" si="16">F82</f>
        <v>2904.73</v>
      </c>
      <c r="G145" s="422">
        <f t="shared" si="16"/>
        <v>28628</v>
      </c>
      <c r="H145" s="422">
        <f t="shared" si="16"/>
        <v>344322</v>
      </c>
      <c r="I145" s="422">
        <f t="shared" si="16"/>
        <v>3749</v>
      </c>
      <c r="J145" s="422">
        <f t="shared" si="16"/>
        <v>162403</v>
      </c>
      <c r="K145" s="422">
        <f t="shared" si="16"/>
        <v>185668</v>
      </c>
    </row>
    <row r="146" spans="1:11" ht="18" customHeight="1" x14ac:dyDescent="0.2">
      <c r="A146" s="435" t="s">
        <v>150</v>
      </c>
      <c r="B146" s="421" t="s">
        <v>69</v>
      </c>
      <c r="F146" s="422">
        <f t="shared" ref="F146:K146" si="17">F98</f>
        <v>1073.5</v>
      </c>
      <c r="G146" s="422">
        <f t="shared" si="17"/>
        <v>250</v>
      </c>
      <c r="H146" s="422">
        <f t="shared" si="17"/>
        <v>42945</v>
      </c>
      <c r="I146" s="422">
        <f t="shared" si="17"/>
        <v>10739</v>
      </c>
      <c r="J146" s="422">
        <f t="shared" si="17"/>
        <v>0</v>
      </c>
      <c r="K146" s="422">
        <f t="shared" si="17"/>
        <v>53684</v>
      </c>
    </row>
    <row r="147" spans="1:11" ht="18" customHeight="1" x14ac:dyDescent="0.2">
      <c r="A147" s="435" t="s">
        <v>153</v>
      </c>
      <c r="B147" s="421" t="s">
        <v>61</v>
      </c>
      <c r="F147" s="221">
        <f t="shared" ref="F147:K147" si="18">F108</f>
        <v>2140</v>
      </c>
      <c r="G147" s="221">
        <f t="shared" si="18"/>
        <v>76</v>
      </c>
      <c r="H147" s="221">
        <f t="shared" si="18"/>
        <v>79010</v>
      </c>
      <c r="I147" s="221">
        <f t="shared" si="18"/>
        <v>0</v>
      </c>
      <c r="J147" s="221">
        <f t="shared" si="18"/>
        <v>0</v>
      </c>
      <c r="K147" s="221">
        <f t="shared" si="18"/>
        <v>79010</v>
      </c>
    </row>
    <row r="148" spans="1:11" ht="18" customHeight="1" x14ac:dyDescent="0.2">
      <c r="A148" s="435" t="s">
        <v>155</v>
      </c>
      <c r="B148" s="421" t="s">
        <v>70</v>
      </c>
      <c r="F148" s="485" t="s">
        <v>73</v>
      </c>
      <c r="G148" s="485" t="s">
        <v>73</v>
      </c>
      <c r="H148" s="486" t="s">
        <v>73</v>
      </c>
      <c r="I148" s="486" t="s">
        <v>73</v>
      </c>
      <c r="J148" s="486" t="s">
        <v>73</v>
      </c>
      <c r="K148" s="423">
        <f>F111</f>
        <v>1822394</v>
      </c>
    </row>
    <row r="149" spans="1:11" ht="18" customHeight="1" x14ac:dyDescent="0.2">
      <c r="A149" s="435" t="s">
        <v>163</v>
      </c>
      <c r="B149" s="421" t="s">
        <v>71</v>
      </c>
      <c r="F149" s="221">
        <f t="shared" ref="F149:K149" si="19">F137</f>
        <v>0</v>
      </c>
      <c r="G149" s="221">
        <f t="shared" si="19"/>
        <v>87</v>
      </c>
      <c r="H149" s="221">
        <f t="shared" si="19"/>
        <v>12201</v>
      </c>
      <c r="I149" s="221">
        <f t="shared" si="19"/>
        <v>0</v>
      </c>
      <c r="J149" s="221">
        <f t="shared" si="19"/>
        <v>12201</v>
      </c>
      <c r="K149" s="221">
        <f t="shared" si="19"/>
        <v>0</v>
      </c>
    </row>
    <row r="150" spans="1:11" ht="18" customHeight="1" x14ac:dyDescent="0.2">
      <c r="A150" s="435" t="s">
        <v>185</v>
      </c>
      <c r="B150" s="421" t="s">
        <v>186</v>
      </c>
      <c r="F150" s="485" t="s">
        <v>73</v>
      </c>
      <c r="G150" s="485" t="s">
        <v>73</v>
      </c>
      <c r="H150" s="221">
        <f>H18</f>
        <v>3563780</v>
      </c>
      <c r="I150" s="221">
        <f>I18</f>
        <v>0</v>
      </c>
      <c r="J150" s="221">
        <f>J18</f>
        <v>3012097</v>
      </c>
      <c r="K150" s="221">
        <f>K18</f>
        <v>551683</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0">SUM(F141:F150)</f>
        <v>29910.46</v>
      </c>
      <c r="G152" s="487">
        <f t="shared" si="20"/>
        <v>33208</v>
      </c>
      <c r="H152" s="487">
        <f t="shared" si="20"/>
        <v>15559230</v>
      </c>
      <c r="I152" s="487">
        <f t="shared" si="20"/>
        <v>158117</v>
      </c>
      <c r="J152" s="487">
        <f t="shared" si="20"/>
        <v>8846407</v>
      </c>
      <c r="K152" s="487">
        <f t="shared" si="20"/>
        <v>8693334</v>
      </c>
    </row>
    <row r="154" spans="1:11" ht="18" customHeight="1" x14ac:dyDescent="0.2">
      <c r="A154" s="455" t="s">
        <v>168</v>
      </c>
      <c r="B154" s="421" t="s">
        <v>28</v>
      </c>
      <c r="F154" s="140">
        <f>K152/F121</f>
        <v>5.29905283664047E-2</v>
      </c>
    </row>
    <row r="155" spans="1:11" ht="18" customHeight="1" x14ac:dyDescent="0.2">
      <c r="A155" s="455" t="s">
        <v>169</v>
      </c>
      <c r="B155" s="421" t="s">
        <v>72</v>
      </c>
      <c r="F155" s="140">
        <f>K152/F127</f>
        <v>-0.90000894487349004</v>
      </c>
      <c r="G155" s="421"/>
    </row>
    <row r="156" spans="1:11" ht="18" customHeight="1" x14ac:dyDescent="0.2">
      <c r="G156" s="421"/>
    </row>
  </sheetData>
  <sheetProtection algorithmName="SHA-512" hashValue="VA5yyyRhMhiqgd3lGUPch2ALpIke49R+tN+PFhNA7fvGduzmu02/4pa5UtUclkIFYEnmF6pXcihChUF0vQ+hJQ==" saltValue="U0j60AIVkqVlBlGWJz10nQ=="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457</v>
      </c>
      <c r="D5" s="437"/>
      <c r="E5" s="437"/>
      <c r="F5" s="437"/>
      <c r="G5" s="438"/>
    </row>
    <row r="6" spans="1:11" ht="18" customHeight="1" x14ac:dyDescent="0.2">
      <c r="B6" s="435" t="s">
        <v>3</v>
      </c>
      <c r="C6" s="439" t="s">
        <v>270</v>
      </c>
      <c r="D6" s="440"/>
      <c r="E6" s="440"/>
      <c r="F6" s="440"/>
      <c r="G6" s="441"/>
    </row>
    <row r="7" spans="1:11" ht="18" customHeight="1" x14ac:dyDescent="0.2">
      <c r="B7" s="435" t="s">
        <v>4</v>
      </c>
      <c r="C7" s="492">
        <v>1793</v>
      </c>
      <c r="D7" s="493"/>
      <c r="E7" s="493"/>
      <c r="F7" s="493"/>
      <c r="G7" s="494"/>
    </row>
    <row r="9" spans="1:11" ht="18" customHeight="1" x14ac:dyDescent="0.2">
      <c r="B9" s="435" t="s">
        <v>1</v>
      </c>
      <c r="C9" s="436" t="s">
        <v>271</v>
      </c>
      <c r="D9" s="437"/>
      <c r="E9" s="437"/>
      <c r="F9" s="437"/>
      <c r="G9" s="438"/>
    </row>
    <row r="10" spans="1:11" ht="18" customHeight="1" x14ac:dyDescent="0.2">
      <c r="B10" s="435" t="s">
        <v>2</v>
      </c>
      <c r="C10" s="445" t="s">
        <v>272</v>
      </c>
      <c r="D10" s="446"/>
      <c r="E10" s="446"/>
      <c r="F10" s="446"/>
      <c r="G10" s="447"/>
    </row>
    <row r="11" spans="1:11" ht="18" customHeight="1" x14ac:dyDescent="0.2">
      <c r="B11" s="435" t="s">
        <v>32</v>
      </c>
      <c r="C11" s="495" t="s">
        <v>273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5095988</v>
      </c>
      <c r="I18" s="133">
        <v>0</v>
      </c>
      <c r="J18" s="118">
        <v>4307115</v>
      </c>
      <c r="K18" s="118">
        <f>(H18+I18)-J18</f>
        <v>788873</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36181.5</v>
      </c>
      <c r="G21" s="221">
        <v>100033</v>
      </c>
      <c r="H21" s="118">
        <v>1565519</v>
      </c>
      <c r="I21" s="133">
        <f t="shared" ref="I21:I34" si="0">H21*F$114</f>
        <v>782759.5</v>
      </c>
      <c r="J21" s="118">
        <v>201100</v>
      </c>
      <c r="K21" s="118">
        <f t="shared" ref="K21:K34" si="1">(H21+I21)-J21</f>
        <v>2147178.5</v>
      </c>
    </row>
    <row r="22" spans="1:11" ht="18" customHeight="1" x14ac:dyDescent="0.2">
      <c r="A22" s="435" t="s">
        <v>76</v>
      </c>
      <c r="B22" s="259" t="s">
        <v>6</v>
      </c>
      <c r="F22" s="221"/>
      <c r="G22" s="221">
        <v>2039</v>
      </c>
      <c r="H22" s="118"/>
      <c r="I22" s="133">
        <f t="shared" si="0"/>
        <v>0</v>
      </c>
      <c r="J22" s="118"/>
      <c r="K22" s="118">
        <f t="shared" si="1"/>
        <v>0</v>
      </c>
    </row>
    <row r="23" spans="1:11" ht="18" customHeight="1" x14ac:dyDescent="0.2">
      <c r="A23" s="435" t="s">
        <v>77</v>
      </c>
      <c r="B23" s="259" t="s">
        <v>43</v>
      </c>
      <c r="F23" s="221">
        <v>248.8</v>
      </c>
      <c r="G23" s="221">
        <v>3495</v>
      </c>
      <c r="H23" s="118">
        <v>15003</v>
      </c>
      <c r="I23" s="133">
        <f t="shared" si="0"/>
        <v>7501.5</v>
      </c>
      <c r="J23" s="118"/>
      <c r="K23" s="118">
        <f t="shared" si="1"/>
        <v>22504.5</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c r="G25" s="221">
        <v>2381</v>
      </c>
      <c r="H25" s="118"/>
      <c r="I25" s="133">
        <f t="shared" si="0"/>
        <v>0</v>
      </c>
      <c r="J25" s="118"/>
      <c r="K25" s="118">
        <f t="shared" si="1"/>
        <v>0</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2155</v>
      </c>
      <c r="G29" s="221">
        <v>967</v>
      </c>
      <c r="H29" s="118">
        <v>285348</v>
      </c>
      <c r="I29" s="133">
        <f t="shared" si="0"/>
        <v>142674</v>
      </c>
      <c r="J29" s="118"/>
      <c r="K29" s="118">
        <f t="shared" si="1"/>
        <v>428022</v>
      </c>
    </row>
    <row r="30" spans="1:11" ht="18" customHeight="1" x14ac:dyDescent="0.2">
      <c r="A30" s="435" t="s">
        <v>84</v>
      </c>
      <c r="B30" s="829" t="s">
        <v>274</v>
      </c>
      <c r="C30" s="830"/>
      <c r="D30" s="831"/>
      <c r="F30" s="221"/>
      <c r="G30" s="221">
        <v>555</v>
      </c>
      <c r="H30" s="118">
        <v>108424</v>
      </c>
      <c r="I30" s="133"/>
      <c r="J30" s="118"/>
      <c r="K30" s="118">
        <f t="shared" si="1"/>
        <v>108424</v>
      </c>
    </row>
    <row r="31" spans="1:11" ht="18" customHeight="1" x14ac:dyDescent="0.2">
      <c r="A31" s="435" t="s">
        <v>133</v>
      </c>
      <c r="B31" s="829" t="s">
        <v>275</v>
      </c>
      <c r="C31" s="830"/>
      <c r="D31" s="831"/>
      <c r="F31" s="221">
        <v>1981.5</v>
      </c>
      <c r="G31" s="221">
        <v>65</v>
      </c>
      <c r="H31" s="118">
        <v>152826</v>
      </c>
      <c r="I31" s="133">
        <f t="shared" si="0"/>
        <v>76413</v>
      </c>
      <c r="J31" s="118"/>
      <c r="K31" s="118">
        <f t="shared" si="1"/>
        <v>229239</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40566.800000000003</v>
      </c>
      <c r="G36" s="221">
        <f t="shared" si="2"/>
        <v>109535</v>
      </c>
      <c r="H36" s="221">
        <f t="shared" si="2"/>
        <v>2127120</v>
      </c>
      <c r="I36" s="118">
        <f t="shared" si="2"/>
        <v>1009348</v>
      </c>
      <c r="J36" s="118">
        <f t="shared" si="2"/>
        <v>201100</v>
      </c>
      <c r="K36" s="118">
        <f t="shared" si="2"/>
        <v>2935368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3608</v>
      </c>
      <c r="G41" s="221">
        <v>124</v>
      </c>
      <c r="H41" s="118">
        <v>110946</v>
      </c>
      <c r="I41" s="133">
        <v>0</v>
      </c>
      <c r="J41" s="118"/>
      <c r="K41" s="118">
        <f t="shared" si="3"/>
        <v>110946</v>
      </c>
    </row>
    <row r="42" spans="1:11" ht="18" customHeight="1" x14ac:dyDescent="0.2">
      <c r="A42" s="435" t="s">
        <v>89</v>
      </c>
      <c r="B42" s="419" t="s">
        <v>11</v>
      </c>
      <c r="F42" s="221">
        <v>13975</v>
      </c>
      <c r="G42" s="221">
        <v>63</v>
      </c>
      <c r="H42" s="118">
        <v>429731</v>
      </c>
      <c r="I42" s="133">
        <v>0</v>
      </c>
      <c r="J42" s="118"/>
      <c r="K42" s="118">
        <f t="shared" si="3"/>
        <v>429731</v>
      </c>
    </row>
    <row r="43" spans="1:11" ht="18" customHeight="1" x14ac:dyDescent="0.2">
      <c r="A43" s="435" t="s">
        <v>90</v>
      </c>
      <c r="B43" s="467" t="s">
        <v>10</v>
      </c>
      <c r="C43" s="468"/>
      <c r="D43" s="468"/>
      <c r="F43" s="221">
        <v>12</v>
      </c>
      <c r="G43" s="221">
        <v>6</v>
      </c>
      <c r="H43" s="118">
        <v>11500</v>
      </c>
      <c r="I43" s="133">
        <v>0</v>
      </c>
      <c r="J43" s="118"/>
      <c r="K43" s="118">
        <f t="shared" si="3"/>
        <v>11500</v>
      </c>
    </row>
    <row r="44" spans="1:11" ht="18" customHeight="1" x14ac:dyDescent="0.2">
      <c r="A44" s="435" t="s">
        <v>91</v>
      </c>
      <c r="B44" s="456" t="s">
        <v>276</v>
      </c>
      <c r="C44" s="457"/>
      <c r="D44" s="458"/>
      <c r="F44" s="407">
        <v>206</v>
      </c>
      <c r="G44" s="407">
        <v>73</v>
      </c>
      <c r="H44" s="407">
        <v>3801</v>
      </c>
      <c r="I44" s="408">
        <v>0</v>
      </c>
      <c r="J44" s="407"/>
      <c r="K44" s="134">
        <f t="shared" si="3"/>
        <v>3801</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v>17801</v>
      </c>
      <c r="G49" s="409">
        <f t="shared" ref="G49:K49" si="4">SUM(G40:G47)</f>
        <v>266</v>
      </c>
      <c r="H49" s="118">
        <f t="shared" si="4"/>
        <v>555978</v>
      </c>
      <c r="I49" s="118">
        <f t="shared" si="4"/>
        <v>0</v>
      </c>
      <c r="J49" s="118">
        <f t="shared" si="4"/>
        <v>0</v>
      </c>
      <c r="K49" s="118">
        <f t="shared" si="4"/>
        <v>555978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832" t="s">
        <v>277</v>
      </c>
      <c r="C53" s="833"/>
      <c r="D53" s="834"/>
      <c r="F53" s="221">
        <v>6240</v>
      </c>
      <c r="G53" s="221">
        <v>17199</v>
      </c>
      <c r="H53" s="118">
        <v>408895</v>
      </c>
      <c r="I53" s="133">
        <v>0</v>
      </c>
      <c r="J53" s="118"/>
      <c r="K53" s="118">
        <f t="shared" ref="K53:K62" si="5">(H53+I53)-J53</f>
        <v>408895</v>
      </c>
    </row>
    <row r="54" spans="1:11" ht="18" customHeight="1" x14ac:dyDescent="0.2">
      <c r="A54" s="435" t="s">
        <v>93</v>
      </c>
      <c r="B54" s="835" t="s">
        <v>278</v>
      </c>
      <c r="C54" s="836"/>
      <c r="D54" s="837"/>
      <c r="F54" s="221">
        <v>91215</v>
      </c>
      <c r="G54" s="221">
        <v>47182</v>
      </c>
      <c r="H54" s="118">
        <v>8954985</v>
      </c>
      <c r="I54" s="133">
        <v>0</v>
      </c>
      <c r="J54" s="118"/>
      <c r="K54" s="118">
        <f t="shared" si="5"/>
        <v>8954985</v>
      </c>
    </row>
    <row r="55" spans="1:11" ht="18" customHeight="1" x14ac:dyDescent="0.2">
      <c r="A55" s="435" t="s">
        <v>94</v>
      </c>
      <c r="B55" s="838" t="s">
        <v>279</v>
      </c>
      <c r="C55" s="839"/>
      <c r="D55" s="834"/>
      <c r="F55" s="221"/>
      <c r="G55" s="221"/>
      <c r="H55" s="118">
        <v>185500</v>
      </c>
      <c r="I55" s="133">
        <v>0</v>
      </c>
      <c r="J55" s="118"/>
      <c r="K55" s="118">
        <f t="shared" si="5"/>
        <v>185500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97455</v>
      </c>
      <c r="G64" s="221">
        <f t="shared" si="6"/>
        <v>64381</v>
      </c>
      <c r="H64" s="118">
        <f t="shared" si="6"/>
        <v>9549380</v>
      </c>
      <c r="I64" s="118">
        <f t="shared" si="6"/>
        <v>0</v>
      </c>
      <c r="J64" s="118">
        <f t="shared" si="6"/>
        <v>0</v>
      </c>
      <c r="K64" s="118">
        <f t="shared" si="6"/>
        <v>9549380</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v>3237.5</v>
      </c>
      <c r="G69" s="122"/>
      <c r="H69" s="122">
        <v>149091</v>
      </c>
      <c r="I69" s="133">
        <v>0</v>
      </c>
      <c r="J69" s="122"/>
      <c r="K69" s="118">
        <f>(H69+I69)-J69</f>
        <v>149091</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3237.5</v>
      </c>
      <c r="G74" s="122">
        <f t="shared" si="7"/>
        <v>0</v>
      </c>
      <c r="H74" s="122">
        <f t="shared" si="7"/>
        <v>149091</v>
      </c>
      <c r="I74" s="133">
        <f t="shared" si="7"/>
        <v>0</v>
      </c>
      <c r="J74" s="122">
        <f t="shared" si="7"/>
        <v>0</v>
      </c>
      <c r="K74" s="118">
        <f t="shared" si="7"/>
        <v>149091</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305770</v>
      </c>
      <c r="I77" s="133">
        <v>0</v>
      </c>
      <c r="J77" s="118"/>
      <c r="K77" s="118">
        <f>(H77+I77)-J77</f>
        <v>305770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913</v>
      </c>
      <c r="G79" s="221">
        <v>8678</v>
      </c>
      <c r="H79" s="118">
        <v>116066</v>
      </c>
      <c r="I79" s="133">
        <v>0</v>
      </c>
      <c r="J79" s="118"/>
      <c r="K79" s="118">
        <f>(H79+I79)-J79</f>
        <v>116066</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913</v>
      </c>
      <c r="G82" s="122">
        <f t="shared" si="8"/>
        <v>8678</v>
      </c>
      <c r="H82" s="118">
        <f t="shared" si="8"/>
        <v>421836</v>
      </c>
      <c r="I82" s="118">
        <f t="shared" si="8"/>
        <v>0</v>
      </c>
      <c r="J82" s="118">
        <f t="shared" si="8"/>
        <v>0</v>
      </c>
      <c r="K82" s="118">
        <f t="shared" si="8"/>
        <v>421836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2353.8000000000002</v>
      </c>
      <c r="G91" s="221"/>
      <c r="H91" s="118">
        <v>413376</v>
      </c>
      <c r="I91" s="133">
        <f t="shared" si="9"/>
        <v>206688</v>
      </c>
      <c r="J91" s="118"/>
      <c r="K91" s="118">
        <f t="shared" si="10"/>
        <v>620064</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c r="G93" s="221"/>
      <c r="H93" s="118"/>
      <c r="I93" s="133">
        <f t="shared" si="9"/>
        <v>0</v>
      </c>
      <c r="J93" s="118"/>
      <c r="K93" s="118">
        <f t="shared" si="10"/>
        <v>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2353.8000000000002</v>
      </c>
      <c r="G98" s="221">
        <v>3831</v>
      </c>
      <c r="H98" s="221">
        <f t="shared" si="11"/>
        <v>413376</v>
      </c>
      <c r="I98" s="221">
        <f t="shared" si="11"/>
        <v>206688</v>
      </c>
      <c r="J98" s="221">
        <f t="shared" si="11"/>
        <v>0</v>
      </c>
      <c r="K98" s="221">
        <f t="shared" si="11"/>
        <v>620064</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2080</v>
      </c>
      <c r="G102" s="221"/>
      <c r="H102" s="118">
        <v>127920</v>
      </c>
      <c r="I102" s="133">
        <f>H102*F$114</f>
        <v>63960</v>
      </c>
      <c r="J102" s="118"/>
      <c r="K102" s="118">
        <f>(H102+I102)-J102</f>
        <v>191880</v>
      </c>
    </row>
    <row r="103" spans="1:11" ht="18" customHeight="1" x14ac:dyDescent="0.2">
      <c r="A103" s="435" t="s">
        <v>132</v>
      </c>
      <c r="B103" s="465" t="s">
        <v>62</v>
      </c>
      <c r="C103" s="465"/>
      <c r="F103" s="221"/>
      <c r="G103" s="221"/>
      <c r="H103" s="118">
        <v>15000</v>
      </c>
      <c r="I103" s="133">
        <f>H103*F$114</f>
        <v>7500</v>
      </c>
      <c r="J103" s="118"/>
      <c r="K103" s="118">
        <f>(H103+I103)-J103</f>
        <v>22500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2080</v>
      </c>
      <c r="G108" s="221">
        <f t="shared" si="12"/>
        <v>0</v>
      </c>
      <c r="H108" s="118">
        <f t="shared" si="12"/>
        <v>142920</v>
      </c>
      <c r="I108" s="118">
        <f t="shared" si="12"/>
        <v>71460</v>
      </c>
      <c r="J108" s="118">
        <f t="shared" si="12"/>
        <v>0</v>
      </c>
      <c r="K108" s="118">
        <f t="shared" si="12"/>
        <v>214380</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546974</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207439000</v>
      </c>
    </row>
    <row r="118" spans="1:6" ht="18" customHeight="1" x14ac:dyDescent="0.2">
      <c r="A118" s="435" t="s">
        <v>173</v>
      </c>
      <c r="B118" s="259" t="s">
        <v>18</v>
      </c>
      <c r="F118" s="118">
        <v>9207000</v>
      </c>
    </row>
    <row r="119" spans="1:6" ht="18" customHeight="1" x14ac:dyDescent="0.2">
      <c r="A119" s="435" t="s">
        <v>174</v>
      </c>
      <c r="B119" s="421" t="s">
        <v>19</v>
      </c>
      <c r="F119" s="118">
        <f>SUM(F117:F118)</f>
        <v>216646000</v>
      </c>
    </row>
    <row r="120" spans="1:6" ht="18" customHeight="1" x14ac:dyDescent="0.2">
      <c r="A120" s="435"/>
      <c r="B120" s="421"/>
    </row>
    <row r="121" spans="1:6" ht="18" customHeight="1" x14ac:dyDescent="0.2">
      <c r="A121" s="435" t="s">
        <v>167</v>
      </c>
      <c r="B121" s="421" t="s">
        <v>36</v>
      </c>
      <c r="F121" s="118">
        <v>195292000</v>
      </c>
    </row>
    <row r="122" spans="1:6" ht="18" customHeight="1" x14ac:dyDescent="0.2">
      <c r="A122" s="435"/>
    </row>
    <row r="123" spans="1:6" ht="18" customHeight="1" x14ac:dyDescent="0.2">
      <c r="A123" s="435" t="s">
        <v>175</v>
      </c>
      <c r="B123" s="421" t="s">
        <v>20</v>
      </c>
      <c r="F123" s="118">
        <v>21354000</v>
      </c>
    </row>
    <row r="124" spans="1:6" ht="18" customHeight="1" x14ac:dyDescent="0.2">
      <c r="A124" s="435"/>
    </row>
    <row r="125" spans="1:6" ht="18" customHeight="1" x14ac:dyDescent="0.2">
      <c r="A125" s="435" t="s">
        <v>176</v>
      </c>
      <c r="B125" s="421" t="s">
        <v>21</v>
      </c>
      <c r="F125" s="118">
        <v>6296000</v>
      </c>
    </row>
    <row r="126" spans="1:6" ht="18" customHeight="1" x14ac:dyDescent="0.2">
      <c r="A126" s="435"/>
    </row>
    <row r="127" spans="1:6" ht="18" customHeight="1" x14ac:dyDescent="0.2">
      <c r="A127" s="435" t="s">
        <v>177</v>
      </c>
      <c r="B127" s="421" t="s">
        <v>22</v>
      </c>
      <c r="F127" s="118">
        <v>27650000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40566.800000000003</v>
      </c>
      <c r="G141" s="422">
        <v>109535</v>
      </c>
      <c r="H141" s="422">
        <f t="shared" si="14"/>
        <v>2127120</v>
      </c>
      <c r="I141" s="422">
        <f t="shared" si="14"/>
        <v>1009348</v>
      </c>
      <c r="J141" s="422">
        <f t="shared" si="14"/>
        <v>201100</v>
      </c>
      <c r="K141" s="422">
        <f t="shared" si="14"/>
        <v>2935368</v>
      </c>
    </row>
    <row r="142" spans="1:11" ht="18" customHeight="1" x14ac:dyDescent="0.2">
      <c r="A142" s="435" t="s">
        <v>142</v>
      </c>
      <c r="B142" s="421" t="s">
        <v>65</v>
      </c>
      <c r="F142" s="422">
        <f t="shared" ref="F142:K142" si="15">F49</f>
        <v>17801</v>
      </c>
      <c r="G142" s="422">
        <f t="shared" si="15"/>
        <v>266</v>
      </c>
      <c r="H142" s="422">
        <f t="shared" si="15"/>
        <v>555978</v>
      </c>
      <c r="I142" s="422">
        <f t="shared" si="15"/>
        <v>0</v>
      </c>
      <c r="J142" s="422">
        <f t="shared" si="15"/>
        <v>0</v>
      </c>
      <c r="K142" s="422">
        <f t="shared" si="15"/>
        <v>555978</v>
      </c>
    </row>
    <row r="143" spans="1:11" ht="18" customHeight="1" x14ac:dyDescent="0.2">
      <c r="A143" s="435" t="s">
        <v>144</v>
      </c>
      <c r="B143" s="421" t="s">
        <v>66</v>
      </c>
      <c r="F143" s="422">
        <f t="shared" ref="F143:K143" si="16">F64</f>
        <v>97455</v>
      </c>
      <c r="G143" s="422">
        <f t="shared" si="16"/>
        <v>64381</v>
      </c>
      <c r="H143" s="422">
        <f t="shared" si="16"/>
        <v>9549380</v>
      </c>
      <c r="I143" s="422">
        <f t="shared" si="16"/>
        <v>0</v>
      </c>
      <c r="J143" s="422">
        <f t="shared" si="16"/>
        <v>0</v>
      </c>
      <c r="K143" s="422">
        <f t="shared" si="16"/>
        <v>9549380</v>
      </c>
    </row>
    <row r="144" spans="1:11" ht="18" customHeight="1" x14ac:dyDescent="0.2">
      <c r="A144" s="435" t="s">
        <v>146</v>
      </c>
      <c r="B144" s="421" t="s">
        <v>67</v>
      </c>
      <c r="F144" s="422">
        <f t="shared" ref="F144:K144" si="17">F74</f>
        <v>3237.5</v>
      </c>
      <c r="G144" s="422">
        <f t="shared" si="17"/>
        <v>0</v>
      </c>
      <c r="H144" s="422">
        <f t="shared" si="17"/>
        <v>149091</v>
      </c>
      <c r="I144" s="422">
        <f t="shared" si="17"/>
        <v>0</v>
      </c>
      <c r="J144" s="422">
        <f t="shared" si="17"/>
        <v>0</v>
      </c>
      <c r="K144" s="422">
        <f t="shared" si="17"/>
        <v>149091</v>
      </c>
    </row>
    <row r="145" spans="1:11" ht="18" customHeight="1" x14ac:dyDescent="0.2">
      <c r="A145" s="435" t="s">
        <v>148</v>
      </c>
      <c r="B145" s="421" t="s">
        <v>68</v>
      </c>
      <c r="F145" s="422">
        <f t="shared" ref="F145:K145" si="18">F82</f>
        <v>913</v>
      </c>
      <c r="G145" s="422">
        <f t="shared" si="18"/>
        <v>8678</v>
      </c>
      <c r="H145" s="422">
        <f t="shared" si="18"/>
        <v>421836</v>
      </c>
      <c r="I145" s="422">
        <f t="shared" si="18"/>
        <v>0</v>
      </c>
      <c r="J145" s="422">
        <f t="shared" si="18"/>
        <v>0</v>
      </c>
      <c r="K145" s="422">
        <f t="shared" si="18"/>
        <v>421836</v>
      </c>
    </row>
    <row r="146" spans="1:11" ht="18" customHeight="1" x14ac:dyDescent="0.2">
      <c r="A146" s="435" t="s">
        <v>150</v>
      </c>
      <c r="B146" s="421" t="s">
        <v>69</v>
      </c>
      <c r="F146" s="422">
        <f t="shared" ref="F146:K146" si="19">F98</f>
        <v>2353.8000000000002</v>
      </c>
      <c r="G146" s="422">
        <f t="shared" si="19"/>
        <v>3831</v>
      </c>
      <c r="H146" s="422">
        <f t="shared" si="19"/>
        <v>413376</v>
      </c>
      <c r="I146" s="422">
        <f t="shared" si="19"/>
        <v>206688</v>
      </c>
      <c r="J146" s="422">
        <f t="shared" si="19"/>
        <v>0</v>
      </c>
      <c r="K146" s="422">
        <f t="shared" si="19"/>
        <v>620064</v>
      </c>
    </row>
    <row r="147" spans="1:11" ht="18" customHeight="1" x14ac:dyDescent="0.2">
      <c r="A147" s="435" t="s">
        <v>153</v>
      </c>
      <c r="B147" s="421" t="s">
        <v>61</v>
      </c>
      <c r="F147" s="221">
        <f t="shared" ref="F147:K147" si="20">F108</f>
        <v>2080</v>
      </c>
      <c r="G147" s="221">
        <f t="shared" si="20"/>
        <v>0</v>
      </c>
      <c r="H147" s="221">
        <f t="shared" si="20"/>
        <v>142920</v>
      </c>
      <c r="I147" s="221">
        <f t="shared" si="20"/>
        <v>71460</v>
      </c>
      <c r="J147" s="221">
        <f t="shared" si="20"/>
        <v>0</v>
      </c>
      <c r="K147" s="221">
        <f t="shared" si="20"/>
        <v>214380</v>
      </c>
    </row>
    <row r="148" spans="1:11" ht="18" customHeight="1" x14ac:dyDescent="0.2">
      <c r="A148" s="435" t="s">
        <v>155</v>
      </c>
      <c r="B148" s="421" t="s">
        <v>70</v>
      </c>
      <c r="F148" s="485" t="s">
        <v>73</v>
      </c>
      <c r="G148" s="485" t="s">
        <v>73</v>
      </c>
      <c r="H148" s="486" t="s">
        <v>73</v>
      </c>
      <c r="I148" s="486" t="s">
        <v>73</v>
      </c>
      <c r="J148" s="486" t="s">
        <v>73</v>
      </c>
      <c r="K148" s="423">
        <f>F111</f>
        <v>546974</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5095988</v>
      </c>
      <c r="I150" s="221">
        <f>I18</f>
        <v>0</v>
      </c>
      <c r="J150" s="221">
        <f>J18</f>
        <v>4307115</v>
      </c>
      <c r="K150" s="221">
        <f>K18</f>
        <v>788873</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164407.09999999998</v>
      </c>
      <c r="G152" s="487">
        <f t="shared" si="22"/>
        <v>186691</v>
      </c>
      <c r="H152" s="487">
        <f t="shared" si="22"/>
        <v>18455689</v>
      </c>
      <c r="I152" s="487">
        <f t="shared" si="22"/>
        <v>1287496</v>
      </c>
      <c r="J152" s="487">
        <f t="shared" si="22"/>
        <v>4508215</v>
      </c>
      <c r="K152" s="487">
        <f t="shared" si="22"/>
        <v>15781944</v>
      </c>
    </row>
    <row r="154" spans="1:11" ht="18" customHeight="1" x14ac:dyDescent="0.2">
      <c r="A154" s="455" t="s">
        <v>168</v>
      </c>
      <c r="B154" s="421" t="s">
        <v>28</v>
      </c>
      <c r="F154" s="140">
        <f>K152/F121</f>
        <v>8.0812035311226271E-2</v>
      </c>
    </row>
    <row r="155" spans="1:11" ht="18" customHeight="1" x14ac:dyDescent="0.2">
      <c r="A155" s="455" t="s">
        <v>169</v>
      </c>
      <c r="B155" s="421" t="s">
        <v>72</v>
      </c>
      <c r="F155" s="140">
        <f>K152/F127</f>
        <v>0.57077555153707049</v>
      </c>
      <c r="G155" s="421"/>
    </row>
    <row r="156" spans="1:11" ht="18" customHeight="1" x14ac:dyDescent="0.2">
      <c r="G156" s="421"/>
    </row>
  </sheetData>
  <sheetProtection algorithmName="SHA-512" hashValue="Fjc6jPOAaDYH3ai98paAT1Hh2eXWqmKCaD70H4XTS7lF0wNlUCJAo5jxmq/8LXVVHur9dgs7kPafph0o+VBTDQ==" saltValue="5R1tAp42lEVb9KYZqCe8zA=="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K156"/>
  <sheetViews>
    <sheetView zoomScale="80" zoomScaleNormal="80" workbookViewId="0">
      <selection activeCell="Q43" sqref="Q43"/>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231</v>
      </c>
      <c r="D5" s="437"/>
      <c r="E5" s="437"/>
      <c r="F5" s="437"/>
      <c r="G5" s="438"/>
    </row>
    <row r="6" spans="1:11" ht="18" customHeight="1" x14ac:dyDescent="0.2">
      <c r="B6" s="435" t="s">
        <v>3</v>
      </c>
      <c r="C6" s="439">
        <v>34</v>
      </c>
      <c r="D6" s="440"/>
      <c r="E6" s="440"/>
      <c r="F6" s="440"/>
      <c r="G6" s="441"/>
    </row>
    <row r="7" spans="1:11" ht="18" customHeight="1" x14ac:dyDescent="0.2">
      <c r="B7" s="435" t="s">
        <v>4</v>
      </c>
      <c r="C7" s="492">
        <v>1125</v>
      </c>
      <c r="D7" s="493"/>
      <c r="E7" s="493"/>
      <c r="F7" s="493"/>
      <c r="G7" s="494"/>
    </row>
    <row r="9" spans="1:11" ht="18" customHeight="1" x14ac:dyDescent="0.2">
      <c r="B9" s="435" t="s">
        <v>1</v>
      </c>
      <c r="C9" s="436" t="s">
        <v>500</v>
      </c>
      <c r="D9" s="437"/>
      <c r="E9" s="437"/>
      <c r="F9" s="437"/>
      <c r="G9" s="438"/>
    </row>
    <row r="10" spans="1:11" ht="18" customHeight="1" x14ac:dyDescent="0.2">
      <c r="B10" s="435" t="s">
        <v>2</v>
      </c>
      <c r="C10" s="445" t="s">
        <v>501</v>
      </c>
      <c r="D10" s="446"/>
      <c r="E10" s="446"/>
      <c r="F10" s="446"/>
      <c r="G10" s="447"/>
    </row>
    <row r="11" spans="1:11" ht="18" customHeight="1" x14ac:dyDescent="0.2">
      <c r="B11" s="435" t="s">
        <v>32</v>
      </c>
      <c r="C11" s="436" t="s">
        <v>502</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4348944</v>
      </c>
      <c r="I18" s="133">
        <v>0</v>
      </c>
      <c r="J18" s="118">
        <v>3675716</v>
      </c>
      <c r="K18" s="118">
        <f>(H18+I18)-J18</f>
        <v>673228</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246.9</v>
      </c>
      <c r="G21" s="221">
        <v>977</v>
      </c>
      <c r="H21" s="118">
        <v>18873</v>
      </c>
      <c r="I21" s="133">
        <f>5059-35</f>
        <v>5024</v>
      </c>
      <c r="J21" s="118">
        <v>1463</v>
      </c>
      <c r="K21" s="118">
        <f t="shared" ref="K21:K34" si="0">(H21+I21)-J21</f>
        <v>22434</v>
      </c>
    </row>
    <row r="22" spans="1:11" ht="18" customHeight="1" x14ac:dyDescent="0.2">
      <c r="A22" s="435" t="s">
        <v>76</v>
      </c>
      <c r="B22" s="259" t="s">
        <v>6</v>
      </c>
      <c r="F22" s="221">
        <v>18</v>
      </c>
      <c r="G22" s="221">
        <v>520</v>
      </c>
      <c r="H22" s="118">
        <v>3868</v>
      </c>
      <c r="I22" s="133">
        <f>3373-23</f>
        <v>3350</v>
      </c>
      <c r="J22" s="118">
        <v>0</v>
      </c>
      <c r="K22" s="118">
        <f t="shared" si="0"/>
        <v>7218</v>
      </c>
    </row>
    <row r="23" spans="1:11" ht="18" customHeight="1" x14ac:dyDescent="0.2">
      <c r="A23" s="435" t="s">
        <v>77</v>
      </c>
      <c r="B23" s="259" t="s">
        <v>43</v>
      </c>
      <c r="F23" s="221"/>
      <c r="G23" s="221"/>
      <c r="H23" s="118"/>
      <c r="I23" s="133">
        <f t="shared" ref="I23:I34" si="1">H23*F$114</f>
        <v>0</v>
      </c>
      <c r="J23" s="118"/>
      <c r="K23" s="118">
        <f t="shared" si="0"/>
        <v>0</v>
      </c>
    </row>
    <row r="24" spans="1:11" ht="18" customHeight="1" x14ac:dyDescent="0.2">
      <c r="A24" s="435" t="s">
        <v>78</v>
      </c>
      <c r="B24" s="259" t="s">
        <v>44</v>
      </c>
      <c r="F24" s="221">
        <v>1555</v>
      </c>
      <c r="G24" s="221">
        <v>1037</v>
      </c>
      <c r="H24" s="118">
        <v>1089991</v>
      </c>
      <c r="I24" s="133">
        <f>944955-6503</f>
        <v>938452</v>
      </c>
      <c r="J24" s="118">
        <v>1083663</v>
      </c>
      <c r="K24" s="118">
        <f t="shared" si="0"/>
        <v>944780</v>
      </c>
    </row>
    <row r="25" spans="1:11" ht="18" customHeight="1" x14ac:dyDescent="0.2">
      <c r="A25" s="435" t="s">
        <v>79</v>
      </c>
      <c r="B25" s="259" t="s">
        <v>5</v>
      </c>
      <c r="F25" s="221">
        <v>2979</v>
      </c>
      <c r="G25" s="221">
        <v>35642</v>
      </c>
      <c r="H25" s="118">
        <v>132406</v>
      </c>
      <c r="I25" s="133">
        <f>114458-788</f>
        <v>113670</v>
      </c>
      <c r="J25" s="118">
        <v>0</v>
      </c>
      <c r="K25" s="118">
        <f t="shared" si="0"/>
        <v>246076</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11.5</v>
      </c>
      <c r="G29" s="221">
        <v>69</v>
      </c>
      <c r="H29" s="118">
        <v>209479</v>
      </c>
      <c r="I29" s="133">
        <f>26623-183</f>
        <v>26440</v>
      </c>
      <c r="J29" s="118"/>
      <c r="K29" s="118">
        <f t="shared" si="0"/>
        <v>235919</v>
      </c>
    </row>
    <row r="30" spans="1:11" ht="18" customHeight="1" x14ac:dyDescent="0.2">
      <c r="A30" s="435" t="s">
        <v>84</v>
      </c>
      <c r="B30" s="456" t="s">
        <v>233</v>
      </c>
      <c r="C30" s="457"/>
      <c r="D30" s="458"/>
      <c r="F30" s="221"/>
      <c r="G30" s="221"/>
      <c r="H30" s="118">
        <v>102143</v>
      </c>
      <c r="I30" s="133">
        <f>88321-607</f>
        <v>87714</v>
      </c>
      <c r="J30" s="118"/>
      <c r="K30" s="118">
        <f t="shared" si="0"/>
        <v>189857</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4810.3999999999996</v>
      </c>
      <c r="G36" s="221">
        <f t="shared" si="2"/>
        <v>38245</v>
      </c>
      <c r="H36" s="221">
        <f t="shared" si="2"/>
        <v>1556760</v>
      </c>
      <c r="I36" s="118">
        <f t="shared" si="2"/>
        <v>1174650</v>
      </c>
      <c r="J36" s="118">
        <f t="shared" si="2"/>
        <v>1085126</v>
      </c>
      <c r="K36" s="118">
        <f t="shared" si="2"/>
        <v>1646284</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102762</v>
      </c>
      <c r="G40" s="221"/>
      <c r="H40" s="118">
        <v>5315036</v>
      </c>
      <c r="I40" s="133">
        <f>4634711-31890</f>
        <v>4602821</v>
      </c>
      <c r="J40" s="118"/>
      <c r="K40" s="118">
        <f t="shared" ref="K40:K47" si="3">(H40+I40)-J40</f>
        <v>9917857</v>
      </c>
    </row>
    <row r="41" spans="1:11" ht="18" customHeight="1" x14ac:dyDescent="0.2">
      <c r="A41" s="435" t="s">
        <v>88</v>
      </c>
      <c r="B41" s="465" t="s">
        <v>50</v>
      </c>
      <c r="C41" s="466"/>
      <c r="F41" s="221">
        <v>4352</v>
      </c>
      <c r="G41" s="221">
        <v>86</v>
      </c>
      <c r="H41" s="118">
        <v>192461</v>
      </c>
      <c r="I41" s="133">
        <f>167826-1155</f>
        <v>166671</v>
      </c>
      <c r="J41" s="118"/>
      <c r="K41" s="118">
        <f t="shared" si="3"/>
        <v>359132</v>
      </c>
    </row>
    <row r="42" spans="1:11" ht="18" customHeight="1" x14ac:dyDescent="0.2">
      <c r="A42" s="435" t="s">
        <v>89</v>
      </c>
      <c r="B42" s="419" t="s">
        <v>11</v>
      </c>
      <c r="F42" s="221">
        <v>45</v>
      </c>
      <c r="G42" s="221">
        <v>3</v>
      </c>
      <c r="H42" s="118">
        <v>4093</v>
      </c>
      <c r="I42" s="133">
        <f>3569-24</f>
        <v>3545</v>
      </c>
      <c r="J42" s="118"/>
      <c r="K42" s="118">
        <f t="shared" si="3"/>
        <v>7638</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t="s">
        <v>233</v>
      </c>
      <c r="C44" s="457"/>
      <c r="D44" s="458"/>
      <c r="F44" s="407">
        <v>122</v>
      </c>
      <c r="G44" s="407">
        <v>65</v>
      </c>
      <c r="H44" s="407">
        <v>8073</v>
      </c>
      <c r="I44" s="408">
        <f>7039-48</f>
        <v>6991</v>
      </c>
      <c r="J44" s="407">
        <v>1950</v>
      </c>
      <c r="K44" s="134">
        <f t="shared" si="3"/>
        <v>13114</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277">
        <f t="shared" ref="F49:K49" si="4">SUM(F40:F47)</f>
        <v>107281</v>
      </c>
      <c r="G49" s="409">
        <f t="shared" si="4"/>
        <v>154</v>
      </c>
      <c r="H49" s="118">
        <f t="shared" si="4"/>
        <v>5519663</v>
      </c>
      <c r="I49" s="118">
        <f t="shared" si="4"/>
        <v>4780028</v>
      </c>
      <c r="J49" s="118">
        <f t="shared" si="4"/>
        <v>1950</v>
      </c>
      <c r="K49" s="118">
        <f t="shared" si="4"/>
        <v>10297741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685</v>
      </c>
      <c r="C53" s="411"/>
      <c r="D53" s="412"/>
      <c r="F53" s="221">
        <v>6552</v>
      </c>
      <c r="G53" s="221">
        <v>0</v>
      </c>
      <c r="H53" s="118">
        <f>1312854-348579</f>
        <v>964275</v>
      </c>
      <c r="I53" s="133">
        <v>0</v>
      </c>
      <c r="J53" s="118">
        <v>0</v>
      </c>
      <c r="K53" s="118">
        <f t="shared" ref="K53:K62" si="5">(H53+I53)-J53</f>
        <v>964275</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6" t="s">
        <v>686</v>
      </c>
      <c r="C55" s="417"/>
      <c r="D55" s="412"/>
      <c r="F55" s="221">
        <f>54621+14040</f>
        <v>68661</v>
      </c>
      <c r="G55" s="221">
        <f>24966+5366</f>
        <v>30332</v>
      </c>
      <c r="H55" s="118">
        <f>3059265+2008995+180033+1</f>
        <v>5248294</v>
      </c>
      <c r="I55" s="133">
        <v>0</v>
      </c>
      <c r="J55" s="118">
        <f>2940698+1947687</f>
        <v>4888385</v>
      </c>
      <c r="K55" s="118">
        <f t="shared" si="5"/>
        <v>359909</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6" t="s">
        <v>326</v>
      </c>
      <c r="C57" s="417"/>
      <c r="D57" s="412"/>
      <c r="F57" s="221">
        <v>72634</v>
      </c>
      <c r="G57" s="221">
        <v>23340</v>
      </c>
      <c r="H57" s="118">
        <f>5859105+1321103+1</f>
        <v>7180209</v>
      </c>
      <c r="I57" s="133">
        <v>0</v>
      </c>
      <c r="J57" s="118">
        <f>2390790+316161</f>
        <v>2706951</v>
      </c>
      <c r="K57" s="118">
        <f t="shared" si="5"/>
        <v>4473258</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13" t="s">
        <v>458</v>
      </c>
      <c r="C60" s="414"/>
      <c r="D60" s="415"/>
      <c r="F60" s="221"/>
      <c r="G60" s="221"/>
      <c r="H60" s="118">
        <v>234318</v>
      </c>
      <c r="I60" s="133">
        <v>0</v>
      </c>
      <c r="J60" s="118"/>
      <c r="K60" s="118">
        <f t="shared" si="5"/>
        <v>234318</v>
      </c>
    </row>
    <row r="61" spans="1:11" ht="18" customHeight="1" x14ac:dyDescent="0.2">
      <c r="A61" s="435" t="s">
        <v>100</v>
      </c>
      <c r="B61" s="413" t="s">
        <v>390</v>
      </c>
      <c r="C61" s="414"/>
      <c r="D61" s="415"/>
      <c r="F61" s="221">
        <v>3785</v>
      </c>
      <c r="G61" s="221">
        <v>711</v>
      </c>
      <c r="H61" s="118">
        <f>237477+10764</f>
        <v>248241</v>
      </c>
      <c r="I61" s="133">
        <v>0</v>
      </c>
      <c r="J61" s="118">
        <v>134336</v>
      </c>
      <c r="K61" s="118">
        <f t="shared" si="5"/>
        <v>113905</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151632</v>
      </c>
      <c r="G64" s="221">
        <f t="shared" si="6"/>
        <v>54383</v>
      </c>
      <c r="H64" s="118">
        <f t="shared" si="6"/>
        <v>13875337</v>
      </c>
      <c r="I64" s="118">
        <f t="shared" si="6"/>
        <v>0</v>
      </c>
      <c r="J64" s="118">
        <f t="shared" si="6"/>
        <v>7729672</v>
      </c>
      <c r="K64" s="118">
        <f t="shared" si="6"/>
        <v>6145665</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39418</v>
      </c>
      <c r="I77" s="133">
        <v>0</v>
      </c>
      <c r="J77" s="118"/>
      <c r="K77" s="118">
        <f>(H77+I77)-J77</f>
        <v>39418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840">
        <v>18.5</v>
      </c>
      <c r="G79" s="221">
        <v>35</v>
      </c>
      <c r="H79" s="118">
        <v>9544</v>
      </c>
      <c r="I79" s="133">
        <v>520</v>
      </c>
      <c r="J79" s="118"/>
      <c r="K79" s="118">
        <f>(H79+I79)-J79</f>
        <v>10064</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18.5</v>
      </c>
      <c r="G82" s="122">
        <f t="shared" si="8"/>
        <v>35</v>
      </c>
      <c r="H82" s="118">
        <f t="shared" si="8"/>
        <v>48962</v>
      </c>
      <c r="I82" s="118">
        <f t="shared" si="8"/>
        <v>520</v>
      </c>
      <c r="J82" s="118">
        <f t="shared" si="8"/>
        <v>0</v>
      </c>
      <c r="K82" s="118">
        <f t="shared" si="8"/>
        <v>49482</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v>82</v>
      </c>
      <c r="G87" s="221"/>
      <c r="H87" s="118">
        <v>8063</v>
      </c>
      <c r="I87" s="133">
        <v>0</v>
      </c>
      <c r="J87" s="118"/>
      <c r="K87" s="118">
        <f t="shared" si="10"/>
        <v>8063</v>
      </c>
    </row>
    <row r="88" spans="1:11" ht="18" customHeight="1" x14ac:dyDescent="0.2">
      <c r="A88" s="435" t="s">
        <v>115</v>
      </c>
      <c r="B88" s="419" t="s">
        <v>116</v>
      </c>
      <c r="F88" s="221">
        <v>24</v>
      </c>
      <c r="G88" s="221"/>
      <c r="H88" s="118">
        <v>2471</v>
      </c>
      <c r="I88" s="133">
        <v>0</v>
      </c>
      <c r="J88" s="118"/>
      <c r="K88" s="118">
        <f t="shared" si="10"/>
        <v>2471</v>
      </c>
    </row>
    <row r="89" spans="1:11" ht="18" customHeight="1" x14ac:dyDescent="0.2">
      <c r="A89" s="435" t="s">
        <v>117</v>
      </c>
      <c r="B89" s="419" t="s">
        <v>58</v>
      </c>
      <c r="F89" s="221">
        <v>299</v>
      </c>
      <c r="G89" s="221"/>
      <c r="H89" s="118">
        <v>13606</v>
      </c>
      <c r="I89" s="133">
        <f>6271-43</f>
        <v>6228</v>
      </c>
      <c r="J89" s="118"/>
      <c r="K89" s="118">
        <f t="shared" si="10"/>
        <v>19834</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v>26386</v>
      </c>
      <c r="I92" s="133"/>
      <c r="J92" s="429"/>
      <c r="K92" s="118">
        <f t="shared" si="10"/>
        <v>26386</v>
      </c>
    </row>
    <row r="93" spans="1:11" ht="18" customHeight="1" x14ac:dyDescent="0.2">
      <c r="A93" s="435" t="s">
        <v>122</v>
      </c>
      <c r="B93" s="419" t="s">
        <v>123</v>
      </c>
      <c r="F93" s="221">
        <v>160</v>
      </c>
      <c r="G93" s="221">
        <v>11</v>
      </c>
      <c r="H93" s="118">
        <v>13226</v>
      </c>
      <c r="I93" s="133">
        <f>8478-58</f>
        <v>8420</v>
      </c>
      <c r="J93" s="118"/>
      <c r="K93" s="118">
        <f t="shared" si="10"/>
        <v>21646</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565</v>
      </c>
      <c r="G98" s="221">
        <f t="shared" si="11"/>
        <v>11</v>
      </c>
      <c r="H98" s="221">
        <f t="shared" si="11"/>
        <v>63752</v>
      </c>
      <c r="I98" s="221">
        <f t="shared" si="11"/>
        <v>14648</v>
      </c>
      <c r="J98" s="221">
        <f t="shared" si="11"/>
        <v>0</v>
      </c>
      <c r="K98" s="221">
        <f t="shared" si="11"/>
        <v>78400</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624</v>
      </c>
      <c r="G102" s="221"/>
      <c r="H102" s="118">
        <v>118596</v>
      </c>
      <c r="I102" s="133">
        <f>37589-258</f>
        <v>37331</v>
      </c>
      <c r="J102" s="118"/>
      <c r="K102" s="118">
        <f>(H102+I102)-J102</f>
        <v>155927</v>
      </c>
    </row>
    <row r="103" spans="1:11" ht="18" customHeight="1" x14ac:dyDescent="0.2">
      <c r="A103" s="435" t="s">
        <v>132</v>
      </c>
      <c r="B103" s="465" t="s">
        <v>62</v>
      </c>
      <c r="C103" s="465"/>
      <c r="F103" s="221">
        <v>58</v>
      </c>
      <c r="G103" s="221"/>
      <c r="H103" s="118">
        <v>1825</v>
      </c>
      <c r="I103" s="133">
        <f>1591-11</f>
        <v>1580</v>
      </c>
      <c r="J103" s="118"/>
      <c r="K103" s="118">
        <f>(H103+I103)-J103</f>
        <v>3405</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682</v>
      </c>
      <c r="G108" s="221">
        <f t="shared" si="12"/>
        <v>0</v>
      </c>
      <c r="H108" s="118">
        <f t="shared" si="12"/>
        <v>120421</v>
      </c>
      <c r="I108" s="118">
        <f t="shared" si="12"/>
        <v>38911</v>
      </c>
      <c r="J108" s="118">
        <f t="shared" si="12"/>
        <v>0</v>
      </c>
      <c r="K108" s="118">
        <f t="shared" si="12"/>
        <v>159332</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3820520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0.86599999999999999</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187827004</v>
      </c>
    </row>
    <row r="118" spans="1:6" ht="18" customHeight="1" x14ac:dyDescent="0.2">
      <c r="A118" s="435" t="s">
        <v>173</v>
      </c>
      <c r="B118" s="259" t="s">
        <v>18</v>
      </c>
      <c r="F118" s="118">
        <v>12869006</v>
      </c>
    </row>
    <row r="119" spans="1:6" ht="18" customHeight="1" x14ac:dyDescent="0.2">
      <c r="A119" s="435" t="s">
        <v>174</v>
      </c>
      <c r="B119" s="421" t="s">
        <v>19</v>
      </c>
      <c r="F119" s="118">
        <f>SUM(F117:F118)</f>
        <v>200696010</v>
      </c>
    </row>
    <row r="120" spans="1:6" ht="18" customHeight="1" x14ac:dyDescent="0.2">
      <c r="A120" s="435"/>
      <c r="B120" s="421"/>
    </row>
    <row r="121" spans="1:6" ht="18" customHeight="1" x14ac:dyDescent="0.2">
      <c r="A121" s="435" t="s">
        <v>167</v>
      </c>
      <c r="B121" s="421" t="s">
        <v>36</v>
      </c>
      <c r="F121" s="118">
        <v>183508480</v>
      </c>
    </row>
    <row r="122" spans="1:6" ht="18" customHeight="1" x14ac:dyDescent="0.2">
      <c r="A122" s="435"/>
    </row>
    <row r="123" spans="1:6" ht="18" customHeight="1" x14ac:dyDescent="0.2">
      <c r="A123" s="435" t="s">
        <v>175</v>
      </c>
      <c r="B123" s="421" t="s">
        <v>20</v>
      </c>
      <c r="F123" s="118">
        <f>+F119-F121</f>
        <v>17187530</v>
      </c>
    </row>
    <row r="124" spans="1:6" ht="18" customHeight="1" x14ac:dyDescent="0.2">
      <c r="A124" s="435"/>
    </row>
    <row r="125" spans="1:6" ht="18" customHeight="1" x14ac:dyDescent="0.2">
      <c r="A125" s="435" t="s">
        <v>176</v>
      </c>
      <c r="B125" s="421" t="s">
        <v>21</v>
      </c>
      <c r="F125" s="118">
        <v>528062</v>
      </c>
    </row>
    <row r="126" spans="1:6" ht="18" customHeight="1" x14ac:dyDescent="0.2">
      <c r="A126" s="435"/>
    </row>
    <row r="127" spans="1:6" ht="18" customHeight="1" x14ac:dyDescent="0.2">
      <c r="A127" s="435" t="s">
        <v>177</v>
      </c>
      <c r="B127" s="421" t="s">
        <v>22</v>
      </c>
      <c r="F127" s="118">
        <f>+F125+F123</f>
        <v>17715592</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4810.3999999999996</v>
      </c>
      <c r="G141" s="422">
        <f t="shared" si="14"/>
        <v>38245</v>
      </c>
      <c r="H141" s="422">
        <f t="shared" si="14"/>
        <v>1556760</v>
      </c>
      <c r="I141" s="422">
        <f t="shared" si="14"/>
        <v>1174650</v>
      </c>
      <c r="J141" s="422">
        <f t="shared" si="14"/>
        <v>1085126</v>
      </c>
      <c r="K141" s="422">
        <f t="shared" si="14"/>
        <v>1646284</v>
      </c>
    </row>
    <row r="142" spans="1:11" ht="18" customHeight="1" x14ac:dyDescent="0.2">
      <c r="A142" s="435" t="s">
        <v>142</v>
      </c>
      <c r="B142" s="421" t="s">
        <v>65</v>
      </c>
      <c r="F142" s="422">
        <f t="shared" ref="F142:K142" si="15">F49</f>
        <v>107281</v>
      </c>
      <c r="G142" s="422">
        <f t="shared" si="15"/>
        <v>154</v>
      </c>
      <c r="H142" s="422">
        <f t="shared" si="15"/>
        <v>5519663</v>
      </c>
      <c r="I142" s="422">
        <f t="shared" si="15"/>
        <v>4780028</v>
      </c>
      <c r="J142" s="422">
        <f t="shared" si="15"/>
        <v>1950</v>
      </c>
      <c r="K142" s="422">
        <f t="shared" si="15"/>
        <v>10297741</v>
      </c>
    </row>
    <row r="143" spans="1:11" ht="18" customHeight="1" x14ac:dyDescent="0.2">
      <c r="A143" s="435" t="s">
        <v>144</v>
      </c>
      <c r="B143" s="421" t="s">
        <v>66</v>
      </c>
      <c r="F143" s="422">
        <f t="shared" ref="F143:K143" si="16">F64</f>
        <v>151632</v>
      </c>
      <c r="G143" s="422">
        <f t="shared" si="16"/>
        <v>54383</v>
      </c>
      <c r="H143" s="422">
        <f t="shared" si="16"/>
        <v>13875337</v>
      </c>
      <c r="I143" s="422">
        <f t="shared" si="16"/>
        <v>0</v>
      </c>
      <c r="J143" s="422">
        <f t="shared" si="16"/>
        <v>7729672</v>
      </c>
      <c r="K143" s="422">
        <f t="shared" si="16"/>
        <v>6145665</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18.5</v>
      </c>
      <c r="G145" s="422">
        <f t="shared" si="18"/>
        <v>35</v>
      </c>
      <c r="H145" s="422">
        <f t="shared" si="18"/>
        <v>48962</v>
      </c>
      <c r="I145" s="422">
        <f t="shared" si="18"/>
        <v>520</v>
      </c>
      <c r="J145" s="422">
        <f t="shared" si="18"/>
        <v>0</v>
      </c>
      <c r="K145" s="422">
        <f t="shared" si="18"/>
        <v>49482</v>
      </c>
    </row>
    <row r="146" spans="1:11" ht="18" customHeight="1" x14ac:dyDescent="0.2">
      <c r="A146" s="435" t="s">
        <v>150</v>
      </c>
      <c r="B146" s="421" t="s">
        <v>69</v>
      </c>
      <c r="F146" s="422">
        <f t="shared" ref="F146:K146" si="19">F98</f>
        <v>565</v>
      </c>
      <c r="G146" s="422">
        <f t="shared" si="19"/>
        <v>11</v>
      </c>
      <c r="H146" s="422">
        <f t="shared" si="19"/>
        <v>63752</v>
      </c>
      <c r="I146" s="422">
        <f t="shared" si="19"/>
        <v>14648</v>
      </c>
      <c r="J146" s="422">
        <f t="shared" si="19"/>
        <v>0</v>
      </c>
      <c r="K146" s="422">
        <f t="shared" si="19"/>
        <v>78400</v>
      </c>
    </row>
    <row r="147" spans="1:11" ht="18" customHeight="1" x14ac:dyDescent="0.2">
      <c r="A147" s="435" t="s">
        <v>153</v>
      </c>
      <c r="B147" s="421" t="s">
        <v>61</v>
      </c>
      <c r="F147" s="221">
        <f t="shared" ref="F147:K147" si="20">F108</f>
        <v>682</v>
      </c>
      <c r="G147" s="221">
        <f t="shared" si="20"/>
        <v>0</v>
      </c>
      <c r="H147" s="221">
        <f t="shared" si="20"/>
        <v>120421</v>
      </c>
      <c r="I147" s="221">
        <f t="shared" si="20"/>
        <v>38911</v>
      </c>
      <c r="J147" s="221">
        <f t="shared" si="20"/>
        <v>0</v>
      </c>
      <c r="K147" s="221">
        <f t="shared" si="20"/>
        <v>159332</v>
      </c>
    </row>
    <row r="148" spans="1:11" ht="18" customHeight="1" x14ac:dyDescent="0.2">
      <c r="A148" s="435" t="s">
        <v>155</v>
      </c>
      <c r="B148" s="421" t="s">
        <v>70</v>
      </c>
      <c r="F148" s="485" t="s">
        <v>73</v>
      </c>
      <c r="G148" s="485" t="s">
        <v>73</v>
      </c>
      <c r="H148" s="486" t="s">
        <v>73</v>
      </c>
      <c r="I148" s="486" t="s">
        <v>73</v>
      </c>
      <c r="J148" s="486" t="s">
        <v>73</v>
      </c>
      <c r="K148" s="423">
        <f>F111</f>
        <v>3820520</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4348944</v>
      </c>
      <c r="I150" s="221">
        <f>I18</f>
        <v>0</v>
      </c>
      <c r="J150" s="221">
        <f>J18</f>
        <v>3675716</v>
      </c>
      <c r="K150" s="221">
        <f>K18</f>
        <v>673228</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264988.90000000002</v>
      </c>
      <c r="G152" s="487">
        <f t="shared" si="22"/>
        <v>92828</v>
      </c>
      <c r="H152" s="487">
        <f t="shared" si="22"/>
        <v>25533839</v>
      </c>
      <c r="I152" s="487">
        <f t="shared" si="22"/>
        <v>6008757</v>
      </c>
      <c r="J152" s="487">
        <f t="shared" si="22"/>
        <v>12492464</v>
      </c>
      <c r="K152" s="487">
        <f t="shared" si="22"/>
        <v>22870652</v>
      </c>
    </row>
    <row r="153" spans="1:11" ht="18" customHeight="1" x14ac:dyDescent="0.2">
      <c r="H153" s="499"/>
    </row>
    <row r="154" spans="1:11" ht="18" customHeight="1" x14ac:dyDescent="0.2">
      <c r="A154" s="455" t="s">
        <v>168</v>
      </c>
      <c r="B154" s="421" t="s">
        <v>28</v>
      </c>
      <c r="F154" s="140">
        <f>K152/F121</f>
        <v>0.12462994625643457</v>
      </c>
    </row>
    <row r="155" spans="1:11" ht="18" customHeight="1" x14ac:dyDescent="0.2">
      <c r="A155" s="455" t="s">
        <v>169</v>
      </c>
      <c r="B155" s="421" t="s">
        <v>72</v>
      </c>
      <c r="F155" s="140">
        <f>K152/F127</f>
        <v>1.2909899934475799</v>
      </c>
      <c r="G155" s="421"/>
    </row>
    <row r="156" spans="1:11" ht="18" customHeight="1" x14ac:dyDescent="0.2">
      <c r="G156" s="421"/>
    </row>
  </sheetData>
  <sheetProtection algorithmName="SHA-512" hashValue="CbZsQSPxXZXjFp/g/HNehE1MZUGe+h/V56mkZNkf+7zhtgfgFLqt4ilW0M7h+1ZsE4A2GkWirRGIhEyE7miXow==" saltValue="/Gmc9l9xgJEAZu/1cOm0uQ=="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pageMargins left="0.7" right="0.7" top="0.75" bottom="0.75" header="0.3" footer="0.3"/>
  <pageSetup scale="1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161"/>
  <sheetViews>
    <sheetView showGridLines="0" zoomScale="80" zoomScaleNormal="80" zoomScaleSheetLayoutView="100" workbookViewId="0">
      <selection activeCell="H16" sqref="H16"/>
    </sheetView>
  </sheetViews>
  <sheetFormatPr defaultRowHeight="18" customHeight="1" x14ac:dyDescent="0.2"/>
  <cols>
    <col min="1" max="1" width="8.425781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89" t="s">
        <v>728</v>
      </c>
      <c r="D5" s="437"/>
      <c r="E5" s="437"/>
      <c r="F5" s="437"/>
      <c r="G5" s="438"/>
    </row>
    <row r="6" spans="1:11" ht="18" customHeight="1" x14ac:dyDescent="0.2">
      <c r="B6" s="435" t="s">
        <v>3</v>
      </c>
      <c r="C6" s="439"/>
      <c r="D6" s="440"/>
      <c r="E6" s="440"/>
      <c r="F6" s="440"/>
      <c r="G6" s="441"/>
    </row>
    <row r="7" spans="1:11" ht="18" customHeight="1" x14ac:dyDescent="0.2">
      <c r="B7" s="435" t="s">
        <v>4</v>
      </c>
      <c r="C7" s="492"/>
      <c r="D7" s="493"/>
      <c r="E7" s="493"/>
      <c r="F7" s="493"/>
      <c r="G7" s="494"/>
    </row>
    <row r="9" spans="1:11" ht="18" customHeight="1" x14ac:dyDescent="0.2">
      <c r="B9" s="435" t="s">
        <v>1</v>
      </c>
      <c r="C9" s="489" t="s">
        <v>512</v>
      </c>
      <c r="D9" s="437"/>
      <c r="E9" s="437"/>
      <c r="F9" s="437"/>
      <c r="G9" s="438"/>
    </row>
    <row r="10" spans="1:11" ht="18" customHeight="1" x14ac:dyDescent="0.2">
      <c r="B10" s="435" t="s">
        <v>2</v>
      </c>
      <c r="C10" s="490" t="s">
        <v>513</v>
      </c>
      <c r="D10" s="446"/>
      <c r="E10" s="446"/>
      <c r="F10" s="446"/>
      <c r="G10" s="447"/>
    </row>
    <row r="11" spans="1:11" ht="18" customHeight="1" x14ac:dyDescent="0.2">
      <c r="B11" s="435" t="s">
        <v>32</v>
      </c>
      <c r="C11" s="634" t="s">
        <v>514</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3316821</v>
      </c>
      <c r="I18" s="133">
        <v>0</v>
      </c>
      <c r="J18" s="118">
        <v>2803368</v>
      </c>
      <c r="K18" s="118">
        <f>(H18+I18)-J18</f>
        <v>513453</v>
      </c>
    </row>
    <row r="19" spans="1:11" ht="45.2"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953</v>
      </c>
      <c r="G21" s="221">
        <v>148777</v>
      </c>
      <c r="H21" s="118">
        <v>278301</v>
      </c>
      <c r="I21" s="133">
        <v>203749</v>
      </c>
      <c r="J21" s="118"/>
      <c r="K21" s="118">
        <f t="shared" ref="K21:K34" si="0">(H21+I21)-J21</f>
        <v>482050</v>
      </c>
    </row>
    <row r="22" spans="1:11" ht="18" customHeight="1" x14ac:dyDescent="0.2">
      <c r="A22" s="435" t="s">
        <v>76</v>
      </c>
      <c r="B22" s="259" t="s">
        <v>6</v>
      </c>
      <c r="F22" s="221"/>
      <c r="G22" s="221"/>
      <c r="H22" s="118"/>
      <c r="I22" s="133">
        <f t="shared" ref="I22:I34" si="1">H22*F$114</f>
        <v>0</v>
      </c>
      <c r="J22" s="118"/>
      <c r="K22" s="118">
        <f t="shared" si="0"/>
        <v>0</v>
      </c>
    </row>
    <row r="23" spans="1:11" ht="18" customHeight="1" x14ac:dyDescent="0.2">
      <c r="A23" s="435" t="s">
        <v>77</v>
      </c>
      <c r="B23" s="259" t="s">
        <v>43</v>
      </c>
      <c r="F23" s="221"/>
      <c r="G23" s="221"/>
      <c r="H23" s="118"/>
      <c r="I23" s="133">
        <f t="shared" si="1"/>
        <v>0</v>
      </c>
      <c r="J23" s="118"/>
      <c r="K23" s="118">
        <f t="shared" si="0"/>
        <v>0</v>
      </c>
    </row>
    <row r="24" spans="1:11" ht="18" customHeight="1" x14ac:dyDescent="0.2">
      <c r="A24" s="435" t="s">
        <v>78</v>
      </c>
      <c r="B24" s="259" t="s">
        <v>44</v>
      </c>
      <c r="F24" s="221"/>
      <c r="G24" s="221"/>
      <c r="H24" s="118"/>
      <c r="I24" s="133">
        <f t="shared" si="1"/>
        <v>0</v>
      </c>
      <c r="J24" s="118"/>
      <c r="K24" s="118">
        <f t="shared" si="0"/>
        <v>0</v>
      </c>
    </row>
    <row r="25" spans="1:11" ht="18" customHeight="1" x14ac:dyDescent="0.2">
      <c r="A25" s="435" t="s">
        <v>79</v>
      </c>
      <c r="B25" s="259" t="s">
        <v>5</v>
      </c>
      <c r="F25" s="221"/>
      <c r="G25" s="221"/>
      <c r="H25" s="118"/>
      <c r="I25" s="133">
        <f t="shared" si="1"/>
        <v>0</v>
      </c>
      <c r="J25" s="118"/>
      <c r="K25" s="118">
        <f t="shared" si="0"/>
        <v>0</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391</v>
      </c>
      <c r="G29" s="221">
        <v>366</v>
      </c>
      <c r="H29" s="118">
        <v>166848</v>
      </c>
      <c r="I29" s="133">
        <v>2010</v>
      </c>
      <c r="J29" s="118">
        <v>71</v>
      </c>
      <c r="K29" s="118">
        <f t="shared" si="0"/>
        <v>168787</v>
      </c>
    </row>
    <row r="30" spans="1:11" ht="18" customHeight="1" x14ac:dyDescent="0.2">
      <c r="A30" s="435" t="s">
        <v>84</v>
      </c>
      <c r="B30" s="456" t="s">
        <v>233</v>
      </c>
      <c r="C30" s="457"/>
      <c r="D30" s="458"/>
      <c r="F30" s="221">
        <v>957</v>
      </c>
      <c r="G30" s="221">
        <v>2300</v>
      </c>
      <c r="H30" s="118">
        <v>37730</v>
      </c>
      <c r="I30" s="133">
        <v>27064</v>
      </c>
      <c r="J30" s="118"/>
      <c r="K30" s="118">
        <f t="shared" si="0"/>
        <v>64794</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2301</v>
      </c>
      <c r="G36" s="221">
        <f t="shared" si="2"/>
        <v>151443</v>
      </c>
      <c r="H36" s="221">
        <f t="shared" si="2"/>
        <v>482879</v>
      </c>
      <c r="I36" s="118">
        <f t="shared" si="2"/>
        <v>232823</v>
      </c>
      <c r="J36" s="118">
        <f t="shared" si="2"/>
        <v>71</v>
      </c>
      <c r="K36" s="118">
        <f t="shared" si="2"/>
        <v>715631</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2684</v>
      </c>
      <c r="G41" s="221">
        <v>66</v>
      </c>
      <c r="H41" s="118">
        <v>78999</v>
      </c>
      <c r="I41" s="133">
        <v>63831</v>
      </c>
      <c r="J41" s="118"/>
      <c r="K41" s="118">
        <f t="shared" si="3"/>
        <v>142830</v>
      </c>
    </row>
    <row r="42" spans="1:11" ht="18" customHeight="1" x14ac:dyDescent="0.2">
      <c r="A42" s="435" t="s">
        <v>89</v>
      </c>
      <c r="B42" s="419" t="s">
        <v>11</v>
      </c>
      <c r="F42" s="221">
        <v>1526</v>
      </c>
      <c r="G42" s="221">
        <v>14</v>
      </c>
      <c r="H42" s="118">
        <v>45077</v>
      </c>
      <c r="I42" s="133">
        <v>36295</v>
      </c>
      <c r="J42" s="118"/>
      <c r="K42" s="118">
        <f t="shared" si="3"/>
        <v>81372</v>
      </c>
    </row>
    <row r="43" spans="1:11" ht="18" customHeight="1" x14ac:dyDescent="0.2">
      <c r="A43" s="435" t="s">
        <v>90</v>
      </c>
      <c r="B43" s="467" t="s">
        <v>10</v>
      </c>
      <c r="C43" s="468"/>
      <c r="D43" s="468"/>
      <c r="F43" s="407"/>
      <c r="G43" s="407"/>
      <c r="H43" s="118"/>
      <c r="I43" s="133">
        <v>0</v>
      </c>
      <c r="J43" s="118"/>
      <c r="K43" s="118">
        <f t="shared" si="3"/>
        <v>0</v>
      </c>
    </row>
    <row r="44" spans="1:11" ht="18" customHeight="1" x14ac:dyDescent="0.2">
      <c r="A44" s="435" t="s">
        <v>91</v>
      </c>
      <c r="B44" s="456" t="s">
        <v>729</v>
      </c>
      <c r="C44" s="457"/>
      <c r="D44" s="458"/>
      <c r="F44" s="407">
        <v>267</v>
      </c>
      <c r="G44" s="407">
        <v>20</v>
      </c>
      <c r="H44" s="407">
        <v>7859</v>
      </c>
      <c r="I44" s="408">
        <v>6350</v>
      </c>
      <c r="J44" s="407"/>
      <c r="K44" s="134">
        <f t="shared" si="3"/>
        <v>14209</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4477</v>
      </c>
      <c r="G49" s="409">
        <f t="shared" si="4"/>
        <v>100</v>
      </c>
      <c r="H49" s="118">
        <f t="shared" si="4"/>
        <v>131935</v>
      </c>
      <c r="I49" s="118">
        <f t="shared" si="4"/>
        <v>106476</v>
      </c>
      <c r="J49" s="118">
        <f t="shared" si="4"/>
        <v>0</v>
      </c>
      <c r="K49" s="118">
        <f t="shared" si="4"/>
        <v>238411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730</v>
      </c>
      <c r="B53" s="410" t="s">
        <v>324</v>
      </c>
      <c r="C53" s="411"/>
      <c r="D53" s="412"/>
      <c r="F53" s="221"/>
      <c r="G53" s="221"/>
      <c r="H53" s="118">
        <v>1185678</v>
      </c>
      <c r="I53" s="133">
        <v>0</v>
      </c>
      <c r="J53" s="118"/>
      <c r="K53" s="118">
        <f t="shared" ref="K53:K62" si="5">(H53+I53)-J53</f>
        <v>1185678</v>
      </c>
    </row>
    <row r="54" spans="1:11" ht="18" customHeight="1" x14ac:dyDescent="0.2">
      <c r="A54" s="435" t="s">
        <v>731</v>
      </c>
      <c r="B54" s="413" t="s">
        <v>732</v>
      </c>
      <c r="C54" s="414"/>
      <c r="D54" s="415"/>
      <c r="F54" s="221"/>
      <c r="G54" s="221"/>
      <c r="H54" s="118">
        <v>1027790</v>
      </c>
      <c r="I54" s="133">
        <v>0</v>
      </c>
      <c r="J54" s="118"/>
      <c r="K54" s="118">
        <f t="shared" si="5"/>
        <v>1027790</v>
      </c>
    </row>
    <row r="55" spans="1:11" ht="18" customHeight="1" x14ac:dyDescent="0.2">
      <c r="A55" s="435" t="s">
        <v>51</v>
      </c>
      <c r="B55" s="416" t="s">
        <v>233</v>
      </c>
      <c r="C55" s="417"/>
      <c r="D55" s="412"/>
      <c r="F55" s="221"/>
      <c r="G55" s="221"/>
      <c r="H55" s="118">
        <v>6506400</v>
      </c>
      <c r="I55" s="133">
        <v>0</v>
      </c>
      <c r="J55" s="118"/>
      <c r="K55" s="118">
        <f t="shared" si="5"/>
        <v>6506400</v>
      </c>
    </row>
    <row r="56" spans="1:11" ht="18" customHeight="1" x14ac:dyDescent="0.2">
      <c r="A56" s="435" t="s">
        <v>95</v>
      </c>
      <c r="B56" s="418"/>
      <c r="C56" s="417"/>
      <c r="D56" s="412"/>
      <c r="F56" s="221"/>
      <c r="G56" s="221"/>
      <c r="H56" s="118">
        <v>0</v>
      </c>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6" t="s">
        <v>333</v>
      </c>
      <c r="C59" s="417"/>
      <c r="D59" s="412"/>
      <c r="F59" s="221"/>
      <c r="G59" s="221"/>
      <c r="H59" s="118">
        <v>50000</v>
      </c>
      <c r="I59" s="133">
        <v>0</v>
      </c>
      <c r="J59" s="118"/>
      <c r="K59" s="118">
        <f t="shared" si="5"/>
        <v>50000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8769868</v>
      </c>
      <c r="I64" s="118">
        <f t="shared" si="6"/>
        <v>0</v>
      </c>
      <c r="J64" s="118">
        <f t="shared" si="6"/>
        <v>0</v>
      </c>
      <c r="K64" s="118">
        <f t="shared" si="6"/>
        <v>8769868</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v>850</v>
      </c>
      <c r="H77" s="118">
        <v>56050</v>
      </c>
      <c r="I77" s="133">
        <v>0</v>
      </c>
      <c r="J77" s="118"/>
      <c r="K77" s="118">
        <f>(H77+I77)-J77</f>
        <v>56050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241</v>
      </c>
      <c r="G79" s="221">
        <v>210</v>
      </c>
      <c r="H79" s="118">
        <v>15693</v>
      </c>
      <c r="I79" s="133">
        <v>3472</v>
      </c>
      <c r="J79" s="118"/>
      <c r="K79" s="118">
        <f>(H79+I79)-J79</f>
        <v>19165</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241</v>
      </c>
      <c r="G82" s="122">
        <f t="shared" si="8"/>
        <v>1060</v>
      </c>
      <c r="H82" s="118">
        <f t="shared" si="8"/>
        <v>71743</v>
      </c>
      <c r="I82" s="118">
        <f t="shared" si="8"/>
        <v>3472</v>
      </c>
      <c r="J82" s="118">
        <f t="shared" si="8"/>
        <v>0</v>
      </c>
      <c r="K82" s="118">
        <f t="shared" si="8"/>
        <v>75215</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709</v>
      </c>
      <c r="G88" s="221"/>
      <c r="H88" s="118">
        <v>77818</v>
      </c>
      <c r="I88" s="133">
        <v>16014</v>
      </c>
      <c r="J88" s="118">
        <v>30000</v>
      </c>
      <c r="K88" s="118">
        <f t="shared" si="10"/>
        <v>63832</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2</v>
      </c>
      <c r="G91" s="221"/>
      <c r="H91" s="118">
        <v>244</v>
      </c>
      <c r="I91" s="133">
        <v>197</v>
      </c>
      <c r="J91" s="118"/>
      <c r="K91" s="118">
        <f t="shared" si="10"/>
        <v>441</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v>1045</v>
      </c>
      <c r="G93" s="221"/>
      <c r="H93" s="118">
        <v>51880</v>
      </c>
      <c r="I93" s="133">
        <v>0</v>
      </c>
      <c r="J93" s="118"/>
      <c r="K93" s="118">
        <f t="shared" si="10"/>
        <v>51880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1756</v>
      </c>
      <c r="G98" s="221">
        <f t="shared" si="11"/>
        <v>0</v>
      </c>
      <c r="H98" s="221">
        <f t="shared" si="11"/>
        <v>129942</v>
      </c>
      <c r="I98" s="221">
        <f t="shared" si="11"/>
        <v>16211</v>
      </c>
      <c r="J98" s="221">
        <f t="shared" si="11"/>
        <v>30000</v>
      </c>
      <c r="K98" s="221">
        <f t="shared" si="11"/>
        <v>116153</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824</v>
      </c>
      <c r="G102" s="221"/>
      <c r="H102" s="118">
        <v>42783</v>
      </c>
      <c r="I102" s="133">
        <v>0</v>
      </c>
      <c r="J102" s="118"/>
      <c r="K102" s="118">
        <f>(H102+I102)-J102</f>
        <v>42783</v>
      </c>
    </row>
    <row r="103" spans="1:11" ht="18" customHeight="1" x14ac:dyDescent="0.2">
      <c r="A103" s="435" t="s">
        <v>132</v>
      </c>
      <c r="B103" s="465" t="s">
        <v>62</v>
      </c>
      <c r="C103" s="465"/>
      <c r="F103" s="221">
        <v>1040</v>
      </c>
      <c r="G103" s="221"/>
      <c r="H103" s="118">
        <v>60611</v>
      </c>
      <c r="I103" s="133">
        <v>24734</v>
      </c>
      <c r="J103" s="118"/>
      <c r="K103" s="118">
        <f>(H103+I103)-J103</f>
        <v>85345</v>
      </c>
    </row>
    <row r="104" spans="1:11" ht="18" customHeight="1" x14ac:dyDescent="0.2">
      <c r="A104" s="435" t="s">
        <v>128</v>
      </c>
      <c r="B104" s="416" t="s">
        <v>327</v>
      </c>
      <c r="C104" s="417"/>
      <c r="D104" s="412"/>
      <c r="F104" s="221">
        <v>4</v>
      </c>
      <c r="G104" s="221"/>
      <c r="H104" s="118">
        <v>118</v>
      </c>
      <c r="I104" s="133">
        <v>95</v>
      </c>
      <c r="J104" s="118"/>
      <c r="K104" s="118">
        <f>(H104+I104)-J104</f>
        <v>213</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1868</v>
      </c>
      <c r="G108" s="221">
        <f t="shared" si="12"/>
        <v>0</v>
      </c>
      <c r="H108" s="118">
        <f t="shared" si="12"/>
        <v>103512</v>
      </c>
      <c r="I108" s="118">
        <f t="shared" si="12"/>
        <v>24829</v>
      </c>
      <c r="J108" s="118">
        <f t="shared" si="12"/>
        <v>0</v>
      </c>
      <c r="K108" s="118">
        <f t="shared" si="12"/>
        <v>128341</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971260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0.71120000000000005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133242008</v>
      </c>
    </row>
    <row r="118" spans="1:6" ht="18" customHeight="1" x14ac:dyDescent="0.2">
      <c r="A118" s="435" t="s">
        <v>173</v>
      </c>
      <c r="B118" s="259" t="s">
        <v>18</v>
      </c>
      <c r="F118" s="118">
        <v>550382</v>
      </c>
    </row>
    <row r="119" spans="1:6" ht="18" customHeight="1" x14ac:dyDescent="0.2">
      <c r="A119" s="435" t="s">
        <v>174</v>
      </c>
      <c r="B119" s="421" t="s">
        <v>19</v>
      </c>
      <c r="F119" s="118">
        <f>SUM(F117:F118)</f>
        <v>133792390</v>
      </c>
    </row>
    <row r="120" spans="1:6" ht="18" customHeight="1" x14ac:dyDescent="0.2">
      <c r="A120" s="435"/>
      <c r="B120" s="421"/>
    </row>
    <row r="121" spans="1:6" ht="18" customHeight="1" x14ac:dyDescent="0.2">
      <c r="A121" s="435" t="s">
        <v>167</v>
      </c>
      <c r="B121" s="421" t="s">
        <v>36</v>
      </c>
      <c r="F121" s="118">
        <v>120993920</v>
      </c>
    </row>
    <row r="122" spans="1:6" ht="18" customHeight="1" x14ac:dyDescent="0.2">
      <c r="A122" s="435"/>
    </row>
    <row r="123" spans="1:6" ht="18" customHeight="1" x14ac:dyDescent="0.2">
      <c r="A123" s="435" t="s">
        <v>175</v>
      </c>
      <c r="B123" s="421" t="s">
        <v>20</v>
      </c>
      <c r="F123" s="118">
        <v>12798471</v>
      </c>
    </row>
    <row r="124" spans="1:6" ht="18" customHeight="1" x14ac:dyDescent="0.2">
      <c r="A124" s="435"/>
    </row>
    <row r="125" spans="1:6" ht="18" customHeight="1" x14ac:dyDescent="0.2">
      <c r="A125" s="435" t="s">
        <v>176</v>
      </c>
      <c r="B125" s="421" t="s">
        <v>21</v>
      </c>
      <c r="F125" s="118">
        <v>2661902</v>
      </c>
    </row>
    <row r="126" spans="1:6" ht="18" customHeight="1" x14ac:dyDescent="0.2">
      <c r="A126" s="435"/>
    </row>
    <row r="127" spans="1:6" ht="18" customHeight="1" x14ac:dyDescent="0.2">
      <c r="A127" s="435" t="s">
        <v>177</v>
      </c>
      <c r="B127" s="421" t="s">
        <v>22</v>
      </c>
      <c r="F127" s="118">
        <v>15460373</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2301</v>
      </c>
      <c r="G141" s="422">
        <f t="shared" si="14"/>
        <v>151443</v>
      </c>
      <c r="H141" s="422">
        <f t="shared" si="14"/>
        <v>482879</v>
      </c>
      <c r="I141" s="422">
        <f t="shared" si="14"/>
        <v>232823</v>
      </c>
      <c r="J141" s="422">
        <f t="shared" si="14"/>
        <v>71</v>
      </c>
      <c r="K141" s="422">
        <f t="shared" si="14"/>
        <v>715631</v>
      </c>
    </row>
    <row r="142" spans="1:11" ht="18" customHeight="1" x14ac:dyDescent="0.2">
      <c r="A142" s="435" t="s">
        <v>142</v>
      </c>
      <c r="B142" s="421" t="s">
        <v>65</v>
      </c>
      <c r="F142" s="422">
        <f t="shared" ref="F142:K142" si="15">F49</f>
        <v>4477</v>
      </c>
      <c r="G142" s="422">
        <f t="shared" si="15"/>
        <v>100</v>
      </c>
      <c r="H142" s="422">
        <f t="shared" si="15"/>
        <v>131935</v>
      </c>
      <c r="I142" s="422">
        <f t="shared" si="15"/>
        <v>106476</v>
      </c>
      <c r="J142" s="422">
        <f t="shared" si="15"/>
        <v>0</v>
      </c>
      <c r="K142" s="422">
        <f t="shared" si="15"/>
        <v>238411</v>
      </c>
    </row>
    <row r="143" spans="1:11" ht="18" customHeight="1" x14ac:dyDescent="0.2">
      <c r="A143" s="435" t="s">
        <v>144</v>
      </c>
      <c r="B143" s="421" t="s">
        <v>66</v>
      </c>
      <c r="F143" s="422">
        <f t="shared" ref="F143:K143" si="16">F64</f>
        <v>0</v>
      </c>
      <c r="G143" s="422">
        <f t="shared" si="16"/>
        <v>0</v>
      </c>
      <c r="H143" s="422">
        <f t="shared" si="16"/>
        <v>8769868</v>
      </c>
      <c r="I143" s="422">
        <f t="shared" si="16"/>
        <v>0</v>
      </c>
      <c r="J143" s="422">
        <f t="shared" si="16"/>
        <v>0</v>
      </c>
      <c r="K143" s="422">
        <f t="shared" si="16"/>
        <v>8769868</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241</v>
      </c>
      <c r="G145" s="422">
        <f t="shared" si="18"/>
        <v>1060</v>
      </c>
      <c r="H145" s="422">
        <f t="shared" si="18"/>
        <v>71743</v>
      </c>
      <c r="I145" s="422">
        <f t="shared" si="18"/>
        <v>3472</v>
      </c>
      <c r="J145" s="422">
        <f t="shared" si="18"/>
        <v>0</v>
      </c>
      <c r="K145" s="422">
        <f t="shared" si="18"/>
        <v>75215</v>
      </c>
    </row>
    <row r="146" spans="1:11" ht="18" customHeight="1" x14ac:dyDescent="0.2">
      <c r="A146" s="435" t="s">
        <v>150</v>
      </c>
      <c r="B146" s="421" t="s">
        <v>69</v>
      </c>
      <c r="F146" s="422">
        <f t="shared" ref="F146:K146" si="19">F98</f>
        <v>1756</v>
      </c>
      <c r="G146" s="422">
        <f t="shared" si="19"/>
        <v>0</v>
      </c>
      <c r="H146" s="422">
        <f t="shared" si="19"/>
        <v>129942</v>
      </c>
      <c r="I146" s="422">
        <f t="shared" si="19"/>
        <v>16211</v>
      </c>
      <c r="J146" s="422">
        <f t="shared" si="19"/>
        <v>30000</v>
      </c>
      <c r="K146" s="422">
        <f t="shared" si="19"/>
        <v>116153</v>
      </c>
    </row>
    <row r="147" spans="1:11" ht="18" customHeight="1" x14ac:dyDescent="0.2">
      <c r="A147" s="435" t="s">
        <v>153</v>
      </c>
      <c r="B147" s="421" t="s">
        <v>61</v>
      </c>
      <c r="F147" s="221">
        <f t="shared" ref="F147:K147" si="20">F108</f>
        <v>1868</v>
      </c>
      <c r="G147" s="221">
        <f t="shared" si="20"/>
        <v>0</v>
      </c>
      <c r="H147" s="221">
        <f t="shared" si="20"/>
        <v>103512</v>
      </c>
      <c r="I147" s="221">
        <f t="shared" si="20"/>
        <v>24829</v>
      </c>
      <c r="J147" s="221">
        <f t="shared" si="20"/>
        <v>0</v>
      </c>
      <c r="K147" s="221">
        <f t="shared" si="20"/>
        <v>128341</v>
      </c>
    </row>
    <row r="148" spans="1:11" ht="18" customHeight="1" x14ac:dyDescent="0.2">
      <c r="A148" s="435" t="s">
        <v>155</v>
      </c>
      <c r="B148" s="421" t="s">
        <v>70</v>
      </c>
      <c r="F148" s="485" t="s">
        <v>73</v>
      </c>
      <c r="G148" s="485" t="s">
        <v>73</v>
      </c>
      <c r="H148" s="486" t="s">
        <v>73</v>
      </c>
      <c r="I148" s="486" t="s">
        <v>73</v>
      </c>
      <c r="J148" s="486" t="s">
        <v>73</v>
      </c>
      <c r="K148" s="423">
        <f>F111</f>
        <v>971260</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v>0</v>
      </c>
      <c r="I150" s="221">
        <f>I18</f>
        <v>0</v>
      </c>
      <c r="J150" s="221">
        <f>J18</f>
        <v>2803368</v>
      </c>
      <c r="K150" s="221">
        <f>K18</f>
        <v>513453</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10643</v>
      </c>
      <c r="G152" s="487">
        <f t="shared" si="22"/>
        <v>152603</v>
      </c>
      <c r="H152" s="487">
        <f t="shared" si="22"/>
        <v>9689879</v>
      </c>
      <c r="I152" s="487">
        <f t="shared" si="22"/>
        <v>383811</v>
      </c>
      <c r="J152" s="487">
        <f t="shared" si="22"/>
        <v>2833439</v>
      </c>
      <c r="K152" s="487">
        <f t="shared" si="22"/>
        <v>11528332</v>
      </c>
    </row>
    <row r="154" spans="1:11" ht="18" customHeight="1" x14ac:dyDescent="0.2">
      <c r="A154" s="455" t="s">
        <v>168</v>
      </c>
      <c r="B154" s="421" t="s">
        <v>28</v>
      </c>
      <c r="F154" s="140">
        <f>K152/F121</f>
        <v>9.528025871052033E-2</v>
      </c>
      <c r="K154" s="516"/>
    </row>
    <row r="155" spans="1:11" ht="18" customHeight="1" x14ac:dyDescent="0.2">
      <c r="A155" s="455" t="s">
        <v>169</v>
      </c>
      <c r="B155" s="421" t="s">
        <v>72</v>
      </c>
      <c r="F155" s="140">
        <f>K152/F127</f>
        <v>0.74566971961155137</v>
      </c>
      <c r="G155" s="421"/>
      <c r="H155" s="419"/>
      <c r="K155" s="499"/>
    </row>
    <row r="156" spans="1:11" ht="18" customHeight="1" x14ac:dyDescent="0.2">
      <c r="G156" s="421"/>
      <c r="H156" s="419"/>
      <c r="K156" s="499"/>
    </row>
    <row r="157" spans="1:11" ht="18" customHeight="1" x14ac:dyDescent="0.2">
      <c r="H157" s="419"/>
    </row>
    <row r="158" spans="1:11" ht="18" customHeight="1" x14ac:dyDescent="0.2">
      <c r="H158" s="841"/>
      <c r="K158" s="419"/>
    </row>
    <row r="159" spans="1:11" ht="18" customHeight="1" x14ac:dyDescent="0.2">
      <c r="K159" s="419"/>
    </row>
    <row r="161" spans="8:11" ht="18" customHeight="1" x14ac:dyDescent="0.2">
      <c r="H161" s="842"/>
      <c r="K161" s="843"/>
    </row>
  </sheetData>
  <sheetProtection algorithmName="SHA-512" hashValue="hSf8zOcf5A1ayndDqr4MjPjXf9SJdSxb48IxPtPziEXPl65QQPBQ18bvcedCFKDf5K0tDfA5vQidXWbShUnwWw==" saltValue="jba/txt+JTTd2AhG0sJb/A==" spinCount="100000" sheet="1" objects="1" scenarios="1"/>
  <mergeCells count="34">
    <mergeCell ref="B62:D62"/>
    <mergeCell ref="B31:D31"/>
    <mergeCell ref="B103:C103"/>
    <mergeCell ref="B96:D96"/>
    <mergeCell ref="B95:D95"/>
    <mergeCell ref="B57:D57"/>
    <mergeCell ref="B94:D94"/>
    <mergeCell ref="B52:C52"/>
    <mergeCell ref="B90:C90"/>
    <mergeCell ref="B56:D56"/>
    <mergeCell ref="B59:D59"/>
    <mergeCell ref="B53:D53"/>
    <mergeCell ref="B55:D55"/>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25" right="0.25" top="1.25" bottom="0.75" header="0.3" footer="0.3"/>
  <pageSetup scale="59" fitToHeight="3" orientation="landscape" horizontalDpi="4294967294" r:id="rId2"/>
  <headerFooter alignWithMargins="0">
    <oddHeader>&amp;R&amp;"Arial,Bold Italic"&amp;16FINAL DRAFT</oddHeader>
  </headerFooter>
  <rowBreaks count="4" manualBreakCount="4">
    <brk id="37" max="16383" man="1"/>
    <brk id="74" max="16383" man="1"/>
    <brk id="109" max="16383" man="1"/>
    <brk id="13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L156"/>
  <sheetViews>
    <sheetView zoomScale="75" zoomScaleNormal="75" workbookViewId="0">
      <selection activeCell="B13" sqref="B13:H13"/>
    </sheetView>
  </sheetViews>
  <sheetFormatPr defaultRowHeight="18" customHeight="1" x14ac:dyDescent="0.2"/>
  <cols>
    <col min="1" max="1" width="8.28515625" style="430" customWidth="1"/>
    <col min="2" max="2" width="55.42578125" style="259" bestFit="1" customWidth="1"/>
    <col min="3" max="4" width="4.7109375" style="259" customWidth="1"/>
    <col min="5" max="5" width="12.42578125" style="259" customWidth="1"/>
    <col min="6" max="6" width="18.5703125" style="259" customWidth="1"/>
    <col min="7" max="7" width="23.5703125" style="259" customWidth="1"/>
    <col min="8" max="8" width="17.140625" style="648" customWidth="1"/>
    <col min="9" max="9" width="21.140625" style="648" customWidth="1"/>
    <col min="10" max="10" width="19.85546875" style="648" customWidth="1"/>
    <col min="11" max="11" width="17.5703125" style="259" customWidth="1"/>
    <col min="12" max="12" width="14.28515625" style="259" bestFit="1" customWidth="1"/>
    <col min="13" max="16384" width="9.140625" style="259"/>
  </cols>
  <sheetData>
    <row r="1" spans="1:11" ht="18" customHeight="1" x14ac:dyDescent="0.2">
      <c r="C1" s="431"/>
      <c r="D1" s="432"/>
      <c r="E1" s="431"/>
      <c r="F1" s="431"/>
      <c r="G1" s="431"/>
      <c r="H1" s="647"/>
      <c r="I1" s="647"/>
      <c r="J1" s="647"/>
      <c r="K1" s="431"/>
    </row>
    <row r="2" spans="1:11" ht="18" customHeight="1" x14ac:dyDescent="0.25">
      <c r="D2" s="844" t="s">
        <v>669</v>
      </c>
      <c r="E2" s="844"/>
      <c r="F2" s="844"/>
      <c r="G2" s="844"/>
      <c r="H2" s="844"/>
    </row>
    <row r="3" spans="1:11" ht="18" customHeight="1" x14ac:dyDescent="0.2">
      <c r="B3" s="421" t="s">
        <v>0</v>
      </c>
    </row>
    <row r="5" spans="1:11" ht="18" customHeight="1" x14ac:dyDescent="0.2">
      <c r="B5" s="435" t="s">
        <v>40</v>
      </c>
      <c r="C5" s="489" t="s">
        <v>357</v>
      </c>
      <c r="D5" s="437"/>
      <c r="E5" s="437"/>
      <c r="F5" s="437"/>
      <c r="G5" s="438"/>
    </row>
    <row r="6" spans="1:11" ht="18" customHeight="1" x14ac:dyDescent="0.2">
      <c r="B6" s="435" t="s">
        <v>3</v>
      </c>
      <c r="C6" s="628">
        <v>210037</v>
      </c>
      <c r="D6" s="440"/>
      <c r="E6" s="440"/>
      <c r="F6" s="440"/>
      <c r="G6" s="441"/>
    </row>
    <row r="7" spans="1:11" ht="18" customHeight="1" x14ac:dyDescent="0.2">
      <c r="B7" s="435" t="s">
        <v>4</v>
      </c>
      <c r="C7" s="398">
        <f>+'[13]MHE 2018'!D21</f>
        <v>1142.6041092709388</v>
      </c>
      <c r="D7" s="399"/>
      <c r="E7" s="399"/>
      <c r="F7" s="399"/>
      <c r="G7" s="400"/>
    </row>
    <row r="9" spans="1:11" ht="18" customHeight="1" x14ac:dyDescent="0.2">
      <c r="B9" s="435" t="s">
        <v>1</v>
      </c>
      <c r="C9" s="489" t="s">
        <v>543</v>
      </c>
      <c r="D9" s="437"/>
      <c r="E9" s="437"/>
      <c r="F9" s="437"/>
      <c r="G9" s="438"/>
    </row>
    <row r="10" spans="1:11" ht="18" customHeight="1" x14ac:dyDescent="0.2">
      <c r="B10" s="435" t="s">
        <v>2</v>
      </c>
      <c r="C10" s="445" t="s">
        <v>358</v>
      </c>
      <c r="D10" s="446"/>
      <c r="E10" s="446"/>
      <c r="F10" s="446"/>
      <c r="G10" s="447"/>
    </row>
    <row r="11" spans="1:11" ht="18" customHeight="1" x14ac:dyDescent="0.2">
      <c r="B11" s="435" t="s">
        <v>32</v>
      </c>
      <c r="C11" s="495" t="s">
        <v>567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647"/>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651" t="s">
        <v>29</v>
      </c>
      <c r="I16" s="651" t="s">
        <v>30</v>
      </c>
      <c r="J16" s="651"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253">
        <v>4545802.446031658</v>
      </c>
      <c r="I18" s="254">
        <v>0</v>
      </c>
      <c r="J18" s="253">
        <v>3842100.0911245099</v>
      </c>
      <c r="K18" s="118">
        <f>(H18+I18)-J18</f>
        <v>703702.35490714805</v>
      </c>
    </row>
    <row r="19" spans="1:11" ht="45.2" customHeight="1" x14ac:dyDescent="0.2">
      <c r="A19" s="432" t="s">
        <v>8</v>
      </c>
      <c r="B19" s="431"/>
      <c r="C19" s="431"/>
      <c r="D19" s="431"/>
      <c r="E19" s="431"/>
      <c r="F19" s="454" t="s">
        <v>9</v>
      </c>
      <c r="G19" s="454" t="s">
        <v>37</v>
      </c>
      <c r="H19" s="651" t="s">
        <v>29</v>
      </c>
      <c r="I19" s="651" t="s">
        <v>30</v>
      </c>
      <c r="J19" s="651" t="s">
        <v>33</v>
      </c>
      <c r="K19" s="454" t="s">
        <v>34</v>
      </c>
    </row>
    <row r="20" spans="1:11" ht="18" customHeight="1" x14ac:dyDescent="0.2">
      <c r="A20" s="455" t="s">
        <v>74</v>
      </c>
      <c r="B20" s="421" t="s">
        <v>41</v>
      </c>
    </row>
    <row r="21" spans="1:11" ht="18" customHeight="1" x14ac:dyDescent="0.2">
      <c r="A21" s="435" t="s">
        <v>75</v>
      </c>
      <c r="B21" s="419" t="s">
        <v>42</v>
      </c>
      <c r="F21" s="221">
        <v>5223</v>
      </c>
      <c r="G21" s="221">
        <v>5098</v>
      </c>
      <c r="H21" s="221">
        <v>215553.11980951467</v>
      </c>
      <c r="I21" s="221">
        <v>86501.668689043479</v>
      </c>
      <c r="J21" s="221">
        <v>460</v>
      </c>
      <c r="K21" s="118">
        <f t="shared" ref="K21:K34" si="0">(H21+I21)-J21</f>
        <v>301594.78849855816</v>
      </c>
    </row>
    <row r="22" spans="1:11" ht="18" customHeight="1" x14ac:dyDescent="0.2">
      <c r="A22" s="435" t="s">
        <v>76</v>
      </c>
      <c r="B22" s="259" t="s">
        <v>6</v>
      </c>
      <c r="F22" s="221">
        <v>96</v>
      </c>
      <c r="G22" s="221">
        <v>187</v>
      </c>
      <c r="H22" s="221">
        <v>3486.2193187274379</v>
      </c>
      <c r="I22" s="221">
        <v>1408.5149191452442</v>
      </c>
      <c r="J22" s="221">
        <v>0</v>
      </c>
      <c r="K22" s="118">
        <f t="shared" si="0"/>
        <v>4894.7342378726826</v>
      </c>
    </row>
    <row r="23" spans="1:11" ht="18" customHeight="1" x14ac:dyDescent="0.2">
      <c r="A23" s="435" t="s">
        <v>77</v>
      </c>
      <c r="B23" s="259" t="s">
        <v>43</v>
      </c>
      <c r="F23" s="221">
        <v>0</v>
      </c>
      <c r="G23" s="221">
        <v>0</v>
      </c>
      <c r="H23" s="221">
        <v>0</v>
      </c>
      <c r="I23" s="221">
        <v>0</v>
      </c>
      <c r="J23" s="221">
        <v>0</v>
      </c>
      <c r="K23" s="118">
        <f t="shared" si="0"/>
        <v>0</v>
      </c>
    </row>
    <row r="24" spans="1:11" ht="18" customHeight="1" x14ac:dyDescent="0.2">
      <c r="A24" s="435" t="s">
        <v>78</v>
      </c>
      <c r="B24" s="259" t="s">
        <v>44</v>
      </c>
      <c r="F24" s="221"/>
      <c r="G24" s="221"/>
      <c r="H24" s="221"/>
      <c r="I24" s="221"/>
      <c r="J24" s="221"/>
      <c r="K24" s="118">
        <f t="shared" si="0"/>
        <v>0</v>
      </c>
    </row>
    <row r="25" spans="1:11" ht="18" customHeight="1" x14ac:dyDescent="0.2">
      <c r="A25" s="435" t="s">
        <v>79</v>
      </c>
      <c r="B25" s="259" t="s">
        <v>5</v>
      </c>
      <c r="F25" s="221">
        <v>86</v>
      </c>
      <c r="G25" s="221">
        <v>253</v>
      </c>
      <c r="H25" s="221">
        <v>2293.9723457693904</v>
      </c>
      <c r="I25" s="221">
        <v>926.81899149771027</v>
      </c>
      <c r="J25" s="221">
        <v>0</v>
      </c>
      <c r="K25" s="118">
        <f t="shared" si="0"/>
        <v>3220.7913372671005</v>
      </c>
    </row>
    <row r="26" spans="1:11" ht="18" customHeight="1" x14ac:dyDescent="0.2">
      <c r="A26" s="435" t="s">
        <v>80</v>
      </c>
      <c r="B26" s="259" t="s">
        <v>45</v>
      </c>
      <c r="F26" s="221"/>
      <c r="G26" s="221"/>
      <c r="H26" s="221"/>
      <c r="I26" s="221"/>
      <c r="J26" s="221"/>
      <c r="K26" s="118">
        <f t="shared" si="0"/>
        <v>0</v>
      </c>
    </row>
    <row r="27" spans="1:11" ht="18" customHeight="1" x14ac:dyDescent="0.2">
      <c r="A27" s="435" t="s">
        <v>81</v>
      </c>
      <c r="B27" s="259" t="s">
        <v>46</v>
      </c>
      <c r="F27" s="221"/>
      <c r="G27" s="221"/>
      <c r="H27" s="221"/>
      <c r="I27" s="221"/>
      <c r="J27" s="221"/>
      <c r="K27" s="118">
        <f t="shared" si="0"/>
        <v>0</v>
      </c>
    </row>
    <row r="28" spans="1:11" ht="18" customHeight="1" x14ac:dyDescent="0.2">
      <c r="A28" s="435" t="s">
        <v>82</v>
      </c>
      <c r="B28" s="259" t="s">
        <v>47</v>
      </c>
      <c r="F28" s="221"/>
      <c r="G28" s="221"/>
      <c r="H28" s="221"/>
      <c r="I28" s="221"/>
      <c r="J28" s="221"/>
      <c r="K28" s="118">
        <f t="shared" si="0"/>
        <v>0</v>
      </c>
    </row>
    <row r="29" spans="1:11" ht="18" customHeight="1" x14ac:dyDescent="0.2">
      <c r="A29" s="435" t="s">
        <v>83</v>
      </c>
      <c r="B29" s="259" t="s">
        <v>48</v>
      </c>
      <c r="F29" s="221">
        <v>902</v>
      </c>
      <c r="G29" s="221">
        <v>1033</v>
      </c>
      <c r="H29" s="221">
        <v>64264.492145107564</v>
      </c>
      <c r="I29" s="221">
        <v>25964.372198682442</v>
      </c>
      <c r="J29" s="221">
        <v>0</v>
      </c>
      <c r="K29" s="118">
        <f t="shared" si="0"/>
        <v>90228.864343790003</v>
      </c>
    </row>
    <row r="30" spans="1:11" ht="18" customHeight="1" x14ac:dyDescent="0.2">
      <c r="A30" s="435" t="s">
        <v>84</v>
      </c>
      <c r="B30" s="416"/>
      <c r="C30" s="635"/>
      <c r="D30" s="636"/>
      <c r="F30" s="221"/>
      <c r="G30" s="221"/>
      <c r="H30" s="221"/>
      <c r="I30" s="221"/>
      <c r="J30" s="221"/>
      <c r="K30" s="118">
        <f t="shared" si="0"/>
        <v>0</v>
      </c>
    </row>
    <row r="31" spans="1:11" ht="18" customHeight="1" x14ac:dyDescent="0.2">
      <c r="A31" s="435" t="s">
        <v>133</v>
      </c>
      <c r="B31" s="456"/>
      <c r="C31" s="457"/>
      <c r="D31" s="458"/>
      <c r="F31" s="221"/>
      <c r="G31" s="221"/>
      <c r="H31" s="253"/>
      <c r="I31" s="254"/>
      <c r="J31" s="253"/>
      <c r="K31" s="118">
        <f t="shared" si="0"/>
        <v>0</v>
      </c>
    </row>
    <row r="32" spans="1:11" ht="18" customHeight="1" x14ac:dyDescent="0.2">
      <c r="A32" s="435" t="s">
        <v>134</v>
      </c>
      <c r="B32" s="459"/>
      <c r="C32" s="460"/>
      <c r="D32" s="461"/>
      <c r="F32" s="221"/>
      <c r="G32" s="255" t="s">
        <v>85</v>
      </c>
      <c r="H32" s="253"/>
      <c r="I32" s="254"/>
      <c r="J32" s="253"/>
      <c r="K32" s="118">
        <f t="shared" si="0"/>
        <v>0</v>
      </c>
    </row>
    <row r="33" spans="1:11" ht="18" customHeight="1" x14ac:dyDescent="0.2">
      <c r="A33" s="435" t="s">
        <v>135</v>
      </c>
      <c r="B33" s="459"/>
      <c r="C33" s="460"/>
      <c r="D33" s="461"/>
      <c r="F33" s="221"/>
      <c r="G33" s="255" t="s">
        <v>85</v>
      </c>
      <c r="H33" s="253"/>
      <c r="I33" s="254"/>
      <c r="J33" s="253"/>
      <c r="K33" s="118">
        <f t="shared" si="0"/>
        <v>0</v>
      </c>
    </row>
    <row r="34" spans="1:11" ht="18" customHeight="1" x14ac:dyDescent="0.2">
      <c r="A34" s="435" t="s">
        <v>136</v>
      </c>
      <c r="B34" s="456"/>
      <c r="C34" s="457"/>
      <c r="D34" s="458"/>
      <c r="F34" s="221"/>
      <c r="G34" s="255" t="s">
        <v>85</v>
      </c>
      <c r="H34" s="253"/>
      <c r="I34" s="254"/>
      <c r="J34" s="253"/>
      <c r="K34" s="118">
        <f t="shared" si="0"/>
        <v>0</v>
      </c>
    </row>
    <row r="35" spans="1:11" ht="18" customHeight="1" x14ac:dyDescent="0.2">
      <c r="K35" s="406"/>
    </row>
    <row r="36" spans="1:11" ht="18" customHeight="1" x14ac:dyDescent="0.2">
      <c r="A36" s="455" t="s">
        <v>137</v>
      </c>
      <c r="B36" s="421" t="s">
        <v>138</v>
      </c>
      <c r="E36" s="421" t="s">
        <v>7</v>
      </c>
      <c r="F36" s="221">
        <f t="shared" ref="F36:K36" si="1">SUM(F21:F34)</f>
        <v>6307</v>
      </c>
      <c r="G36" s="221">
        <f t="shared" si="1"/>
        <v>6571</v>
      </c>
      <c r="H36" s="253">
        <f t="shared" si="1"/>
        <v>285597.80361911905</v>
      </c>
      <c r="I36" s="253">
        <f t="shared" si="1"/>
        <v>114801.37479836888</v>
      </c>
      <c r="J36" s="253">
        <f t="shared" si="1"/>
        <v>460</v>
      </c>
      <c r="K36" s="118">
        <f t="shared" si="1"/>
        <v>399939.17841748794</v>
      </c>
    </row>
    <row r="37" spans="1:11" ht="18" customHeight="1" thickBot="1" x14ac:dyDescent="0.25">
      <c r="B37" s="421"/>
      <c r="F37" s="462"/>
      <c r="G37" s="462"/>
      <c r="H37" s="845"/>
      <c r="I37" s="845"/>
      <c r="J37" s="845"/>
      <c r="K37" s="464"/>
    </row>
    <row r="38" spans="1:11" ht="42.75" customHeight="1" x14ac:dyDescent="0.2">
      <c r="F38" s="454" t="s">
        <v>9</v>
      </c>
      <c r="G38" s="454" t="s">
        <v>37</v>
      </c>
      <c r="H38" s="651" t="s">
        <v>29</v>
      </c>
      <c r="I38" s="651" t="s">
        <v>30</v>
      </c>
      <c r="J38" s="651" t="s">
        <v>33</v>
      </c>
      <c r="K38" s="454" t="s">
        <v>34</v>
      </c>
    </row>
    <row r="39" spans="1:11" ht="18.75" customHeight="1" x14ac:dyDescent="0.2">
      <c r="A39" s="455" t="s">
        <v>86</v>
      </c>
      <c r="B39" s="421" t="s">
        <v>49</v>
      </c>
    </row>
    <row r="40" spans="1:11" ht="18" customHeight="1" x14ac:dyDescent="0.2">
      <c r="A40" s="435" t="s">
        <v>87</v>
      </c>
      <c r="B40" s="259" t="s">
        <v>31</v>
      </c>
      <c r="F40" s="221"/>
      <c r="G40" s="221"/>
      <c r="H40" s="253"/>
      <c r="I40" s="254"/>
      <c r="J40" s="253"/>
      <c r="K40" s="118">
        <f t="shared" ref="K40:K47" si="2">(H40+I40)-J40</f>
        <v>0</v>
      </c>
    </row>
    <row r="41" spans="1:11" ht="18" customHeight="1" x14ac:dyDescent="0.2">
      <c r="A41" s="435" t="s">
        <v>88</v>
      </c>
      <c r="B41" s="465" t="s">
        <v>50</v>
      </c>
      <c r="C41" s="466"/>
      <c r="F41" s="221">
        <v>12120.889153057002</v>
      </c>
      <c r="G41" s="221">
        <v>32</v>
      </c>
      <c r="H41" s="253">
        <v>994100</v>
      </c>
      <c r="I41" s="254">
        <v>96796.779056103784</v>
      </c>
      <c r="J41" s="253">
        <v>0</v>
      </c>
      <c r="K41" s="118">
        <f t="shared" si="2"/>
        <v>1090896.7790561039</v>
      </c>
    </row>
    <row r="42" spans="1:11" ht="18" customHeight="1" x14ac:dyDescent="0.2">
      <c r="A42" s="435" t="s">
        <v>89</v>
      </c>
      <c r="B42" s="419" t="s">
        <v>11</v>
      </c>
      <c r="F42" s="221">
        <v>1791</v>
      </c>
      <c r="G42" s="221">
        <v>56</v>
      </c>
      <c r="H42" s="221">
        <v>65039.77916500876</v>
      </c>
      <c r="I42" s="221">
        <v>26277.606460303461</v>
      </c>
      <c r="J42" s="221">
        <v>0</v>
      </c>
      <c r="K42" s="118">
        <f t="shared" si="2"/>
        <v>91317.385625312221</v>
      </c>
    </row>
    <row r="43" spans="1:11" ht="18" customHeight="1" x14ac:dyDescent="0.2">
      <c r="A43" s="435" t="s">
        <v>90</v>
      </c>
      <c r="B43" s="467" t="s">
        <v>10</v>
      </c>
      <c r="C43" s="468"/>
      <c r="D43" s="468"/>
      <c r="F43" s="221"/>
      <c r="G43" s="221"/>
      <c r="H43" s="221"/>
      <c r="I43" s="221"/>
      <c r="J43" s="221"/>
      <c r="K43" s="118">
        <f t="shared" si="2"/>
        <v>0</v>
      </c>
    </row>
    <row r="44" spans="1:11" ht="18" customHeight="1" x14ac:dyDescent="0.2">
      <c r="A44" s="435" t="s">
        <v>91</v>
      </c>
      <c r="B44" s="416" t="s">
        <v>758</v>
      </c>
      <c r="C44" s="635"/>
      <c r="D44" s="636"/>
      <c r="F44" s="221"/>
      <c r="G44" s="221"/>
      <c r="H44" s="221"/>
      <c r="I44" s="221"/>
      <c r="J44" s="221"/>
      <c r="K44" s="118">
        <f t="shared" si="2"/>
        <v>0</v>
      </c>
    </row>
    <row r="45" spans="1:11" ht="18" customHeight="1" x14ac:dyDescent="0.2">
      <c r="A45" s="435" t="s">
        <v>139</v>
      </c>
      <c r="B45" s="456"/>
      <c r="C45" s="457"/>
      <c r="D45" s="458"/>
      <c r="F45" s="221"/>
      <c r="G45" s="221"/>
      <c r="H45" s="253"/>
      <c r="I45" s="254"/>
      <c r="J45" s="253"/>
      <c r="K45" s="118">
        <f t="shared" si="2"/>
        <v>0</v>
      </c>
    </row>
    <row r="46" spans="1:11" ht="18" customHeight="1" x14ac:dyDescent="0.2">
      <c r="A46" s="435" t="s">
        <v>140</v>
      </c>
      <c r="B46" s="456"/>
      <c r="C46" s="457"/>
      <c r="D46" s="458"/>
      <c r="F46" s="221"/>
      <c r="G46" s="221"/>
      <c r="H46" s="253"/>
      <c r="I46" s="254"/>
      <c r="J46" s="253"/>
      <c r="K46" s="118">
        <f t="shared" si="2"/>
        <v>0</v>
      </c>
    </row>
    <row r="47" spans="1:11" ht="18" customHeight="1" x14ac:dyDescent="0.2">
      <c r="A47" s="435" t="s">
        <v>141</v>
      </c>
      <c r="B47" s="456"/>
      <c r="C47" s="457"/>
      <c r="D47" s="458"/>
      <c r="F47" s="221"/>
      <c r="G47" s="221"/>
      <c r="H47" s="253"/>
      <c r="I47" s="254"/>
      <c r="J47" s="253"/>
      <c r="K47" s="118">
        <f t="shared" si="2"/>
        <v>0</v>
      </c>
    </row>
    <row r="49" spans="1:12" ht="18" customHeight="1" x14ac:dyDescent="0.2">
      <c r="A49" s="455" t="s">
        <v>142</v>
      </c>
      <c r="B49" s="421" t="s">
        <v>143</v>
      </c>
      <c r="E49" s="421" t="s">
        <v>7</v>
      </c>
      <c r="F49" s="409">
        <f t="shared" ref="F49:K49" si="3">SUM(F40:F47)</f>
        <v>13911.889153057002</v>
      </c>
      <c r="G49" s="409">
        <f t="shared" si="3"/>
        <v>88</v>
      </c>
      <c r="H49" s="253">
        <f t="shared" si="3"/>
        <v>1059139.7791650088</v>
      </c>
      <c r="I49" s="253">
        <f t="shared" si="3"/>
        <v>123074.38551640724</v>
      </c>
      <c r="J49" s="253">
        <f t="shared" si="3"/>
        <v>0</v>
      </c>
      <c r="K49" s="118">
        <f t="shared" si="3"/>
        <v>1182214.164681416</v>
      </c>
    </row>
    <row r="50" spans="1:12" ht="18" customHeight="1" thickBot="1" x14ac:dyDescent="0.25">
      <c r="G50" s="469"/>
      <c r="H50" s="846"/>
      <c r="I50" s="846"/>
      <c r="J50" s="846"/>
      <c r="K50" s="469"/>
    </row>
    <row r="51" spans="1:12" ht="42.75" customHeight="1" x14ac:dyDescent="0.2">
      <c r="F51" s="454" t="s">
        <v>9</v>
      </c>
      <c r="G51" s="454" t="s">
        <v>37</v>
      </c>
      <c r="H51" s="651" t="s">
        <v>29</v>
      </c>
      <c r="I51" s="651" t="s">
        <v>30</v>
      </c>
      <c r="J51" s="651" t="s">
        <v>33</v>
      </c>
      <c r="K51" s="454" t="s">
        <v>34</v>
      </c>
    </row>
    <row r="52" spans="1:12" ht="18" customHeight="1" x14ac:dyDescent="0.2">
      <c r="A52" s="455" t="s">
        <v>92</v>
      </c>
      <c r="B52" s="470" t="s">
        <v>38</v>
      </c>
      <c r="C52" s="471"/>
    </row>
    <row r="53" spans="1:12" ht="18" customHeight="1" x14ac:dyDescent="0.2">
      <c r="A53" s="847" t="s">
        <v>51</v>
      </c>
      <c r="B53" s="610" t="s">
        <v>759</v>
      </c>
      <c r="C53" s="425"/>
      <c r="D53" s="415"/>
      <c r="F53" s="221">
        <v>321400</v>
      </c>
      <c r="G53" s="221">
        <v>1353</v>
      </c>
      <c r="H53" s="221">
        <v>390029.34274552984</v>
      </c>
      <c r="I53" s="255">
        <v>157581.0635924146</v>
      </c>
      <c r="J53" s="221">
        <v>0</v>
      </c>
      <c r="K53" s="118">
        <f t="shared" ref="K53:K64" si="4">(H53+I53)-J53</f>
        <v>547610.40633794444</v>
      </c>
    </row>
    <row r="54" spans="1:12" ht="18" customHeight="1" x14ac:dyDescent="0.2">
      <c r="A54" s="847" t="s">
        <v>93</v>
      </c>
      <c r="B54" s="420" t="s">
        <v>760</v>
      </c>
      <c r="C54" s="414"/>
      <c r="D54" s="415"/>
      <c r="F54" s="221">
        <v>8751.5</v>
      </c>
      <c r="G54" s="221">
        <v>7954</v>
      </c>
      <c r="H54" s="342">
        <v>1090404</v>
      </c>
      <c r="I54" s="254">
        <v>440548.96192138502</v>
      </c>
      <c r="J54" s="253"/>
      <c r="K54" s="118">
        <f t="shared" si="4"/>
        <v>1530952.961921385</v>
      </c>
    </row>
    <row r="55" spans="1:12" ht="18" customHeight="1" x14ac:dyDescent="0.2">
      <c r="A55" s="847" t="s">
        <v>94</v>
      </c>
      <c r="B55" s="413" t="s">
        <v>761</v>
      </c>
      <c r="C55" s="414"/>
      <c r="D55" s="415"/>
      <c r="F55" s="221">
        <v>26268.899424705847</v>
      </c>
      <c r="G55" s="221">
        <v>49790</v>
      </c>
      <c r="H55" s="253">
        <v>2295924</v>
      </c>
      <c r="I55" s="254">
        <v>927607.50588808733</v>
      </c>
      <c r="J55" s="253"/>
      <c r="K55" s="118">
        <f t="shared" si="4"/>
        <v>3223531.5058880872</v>
      </c>
    </row>
    <row r="56" spans="1:12" ht="18" customHeight="1" x14ac:dyDescent="0.2">
      <c r="A56" s="847" t="s">
        <v>95</v>
      </c>
      <c r="B56" s="413" t="s">
        <v>359</v>
      </c>
      <c r="C56" s="414"/>
      <c r="D56" s="415"/>
      <c r="F56" s="221"/>
      <c r="G56" s="221"/>
      <c r="H56" s="221">
        <v>574266.80000000005</v>
      </c>
      <c r="I56" s="221">
        <v>232017.34642014853</v>
      </c>
      <c r="J56" s="253"/>
      <c r="K56" s="118">
        <f t="shared" si="4"/>
        <v>806284.14642014855</v>
      </c>
    </row>
    <row r="57" spans="1:12" ht="18" customHeight="1" x14ac:dyDescent="0.2">
      <c r="A57" s="847" t="s">
        <v>96</v>
      </c>
      <c r="B57" s="413" t="s">
        <v>762</v>
      </c>
      <c r="C57" s="414"/>
      <c r="D57" s="415"/>
      <c r="F57" s="221"/>
      <c r="G57" s="221"/>
      <c r="H57" s="221">
        <v>3024448</v>
      </c>
      <c r="I57" s="221">
        <v>1221948.403330517</v>
      </c>
      <c r="J57" s="253"/>
      <c r="K57" s="118">
        <f t="shared" si="4"/>
        <v>4246396.403330517</v>
      </c>
    </row>
    <row r="58" spans="1:12" ht="18" customHeight="1" x14ac:dyDescent="0.2">
      <c r="A58" s="847" t="s">
        <v>97</v>
      </c>
      <c r="B58" s="754" t="s">
        <v>763</v>
      </c>
      <c r="C58" s="414"/>
      <c r="D58" s="415"/>
      <c r="F58" s="221"/>
      <c r="G58" s="221"/>
      <c r="H58" s="221">
        <v>5661390</v>
      </c>
      <c r="I58" s="221">
        <v>1935512.0778058323</v>
      </c>
      <c r="J58" s="253"/>
      <c r="K58" s="118">
        <f t="shared" si="4"/>
        <v>7596902.077805832</v>
      </c>
    </row>
    <row r="59" spans="1:12" ht="18" customHeight="1" x14ac:dyDescent="0.2">
      <c r="A59" s="847" t="s">
        <v>98</v>
      </c>
      <c r="B59" s="610" t="s">
        <v>764</v>
      </c>
      <c r="C59" s="848"/>
      <c r="D59" s="849"/>
      <c r="F59" s="221">
        <v>0</v>
      </c>
      <c r="G59" s="221">
        <v>0</v>
      </c>
      <c r="H59" s="221">
        <v>1088533.333333333</v>
      </c>
      <c r="I59" s="221">
        <v>372147.01932933589</v>
      </c>
      <c r="J59" s="221">
        <v>0</v>
      </c>
      <c r="K59" s="118">
        <f t="shared" si="4"/>
        <v>1460680.352662669</v>
      </c>
    </row>
    <row r="60" spans="1:12" ht="18" customHeight="1" x14ac:dyDescent="0.2">
      <c r="A60" s="847" t="s">
        <v>99</v>
      </c>
      <c r="B60" s="413" t="s">
        <v>765</v>
      </c>
      <c r="C60" s="414"/>
      <c r="D60" s="415"/>
      <c r="F60" s="221"/>
      <c r="G60" s="221"/>
      <c r="H60" s="221">
        <v>3695365.333333333</v>
      </c>
      <c r="I60" s="221">
        <v>1263368.9314058283</v>
      </c>
      <c r="J60" s="253"/>
      <c r="K60" s="118">
        <f t="shared" si="4"/>
        <v>4958734.2647391614</v>
      </c>
    </row>
    <row r="61" spans="1:12" ht="18" customHeight="1" x14ac:dyDescent="0.2">
      <c r="A61" s="847" t="s">
        <v>100</v>
      </c>
      <c r="B61" s="413" t="s">
        <v>360</v>
      </c>
      <c r="C61" s="414"/>
      <c r="D61" s="415"/>
      <c r="F61" s="221"/>
      <c r="G61" s="221"/>
      <c r="H61" s="253">
        <v>843984</v>
      </c>
      <c r="I61" s="254">
        <v>340989.46361005481</v>
      </c>
      <c r="J61" s="253"/>
      <c r="K61" s="118">
        <f t="shared" si="4"/>
        <v>1184973.4636100549</v>
      </c>
    </row>
    <row r="62" spans="1:12" ht="18" customHeight="1" x14ac:dyDescent="0.2">
      <c r="A62" s="847" t="s">
        <v>101</v>
      </c>
      <c r="B62" s="413" t="s">
        <v>568</v>
      </c>
      <c r="C62" s="414"/>
      <c r="D62" s="415"/>
      <c r="F62" s="221">
        <v>482</v>
      </c>
      <c r="G62" s="221">
        <v>31</v>
      </c>
      <c r="H62" s="221">
        <v>17503.726162777344</v>
      </c>
      <c r="I62" s="221">
        <v>7071.9186565417467</v>
      </c>
      <c r="J62" s="221">
        <v>15482</v>
      </c>
      <c r="K62" s="118">
        <f t="shared" si="4"/>
        <v>9093.6448193190918</v>
      </c>
    </row>
    <row r="63" spans="1:12" ht="18" customHeight="1" x14ac:dyDescent="0.2">
      <c r="A63" s="847" t="s">
        <v>766</v>
      </c>
      <c r="B63" s="413" t="s">
        <v>233</v>
      </c>
      <c r="C63" s="414"/>
      <c r="D63" s="415"/>
      <c r="F63" s="221"/>
      <c r="G63" s="221"/>
      <c r="H63" s="221">
        <v>214340.66666666666</v>
      </c>
      <c r="I63" s="221">
        <v>73278.638125670084</v>
      </c>
      <c r="J63" s="253"/>
      <c r="K63" s="118">
        <f t="shared" si="4"/>
        <v>287619.30479233677</v>
      </c>
    </row>
    <row r="64" spans="1:12" ht="18" customHeight="1" x14ac:dyDescent="0.2">
      <c r="A64" s="435" t="s">
        <v>144</v>
      </c>
      <c r="B64" s="421" t="s">
        <v>145</v>
      </c>
      <c r="E64" s="421" t="s">
        <v>7</v>
      </c>
      <c r="F64" s="221">
        <f t="shared" ref="F64:J64" si="5">SUM(F53:F63)</f>
        <v>356902.39942470583</v>
      </c>
      <c r="G64" s="221">
        <f t="shared" si="5"/>
        <v>59128</v>
      </c>
      <c r="H64" s="253">
        <f t="shared" si="5"/>
        <v>18896189.202241641</v>
      </c>
      <c r="I64" s="253">
        <f t="shared" si="5"/>
        <v>6972071.3300858159</v>
      </c>
      <c r="J64" s="253">
        <f t="shared" si="5"/>
        <v>15482</v>
      </c>
      <c r="K64" s="118">
        <f t="shared" si="4"/>
        <v>25852778.532327458</v>
      </c>
      <c r="L64" s="516">
        <f>SUM(K53:K63)</f>
        <v>25852778.532327451</v>
      </c>
    </row>
    <row r="65" spans="1:11" ht="18" customHeight="1" x14ac:dyDescent="0.2">
      <c r="F65" s="478"/>
      <c r="G65" s="478"/>
      <c r="H65" s="699"/>
      <c r="I65" s="699"/>
      <c r="J65" s="699"/>
      <c r="K65" s="850">
        <f>H64+I64-J64</f>
        <v>25852778.532327458</v>
      </c>
    </row>
    <row r="66" spans="1:11" ht="42.75" customHeight="1" x14ac:dyDescent="0.2">
      <c r="F66" s="479" t="s">
        <v>9</v>
      </c>
      <c r="G66" s="479" t="s">
        <v>37</v>
      </c>
      <c r="H66" s="677" t="s">
        <v>29</v>
      </c>
      <c r="I66" s="677" t="s">
        <v>30</v>
      </c>
      <c r="J66" s="677" t="s">
        <v>33</v>
      </c>
      <c r="K66" s="479" t="s">
        <v>34</v>
      </c>
    </row>
    <row r="67" spans="1:11" ht="18" customHeight="1" x14ac:dyDescent="0.2">
      <c r="A67" s="455" t="s">
        <v>102</v>
      </c>
      <c r="B67" s="421" t="s">
        <v>12</v>
      </c>
      <c r="F67" s="480"/>
      <c r="G67" s="480"/>
      <c r="H67" s="256"/>
      <c r="I67" s="256"/>
      <c r="J67" s="256"/>
      <c r="K67" s="137"/>
    </row>
    <row r="68" spans="1:11" ht="18" customHeight="1" x14ac:dyDescent="0.2">
      <c r="A68" s="435" t="s">
        <v>103</v>
      </c>
      <c r="B68" s="259" t="s">
        <v>52</v>
      </c>
      <c r="F68" s="122"/>
      <c r="G68" s="122"/>
      <c r="H68" s="253"/>
      <c r="I68" s="254"/>
      <c r="J68" s="253"/>
      <c r="K68" s="118">
        <f>(H68+I68)-J68</f>
        <v>0</v>
      </c>
    </row>
    <row r="69" spans="1:11" ht="18" customHeight="1" x14ac:dyDescent="0.2">
      <c r="A69" s="435" t="s">
        <v>104</v>
      </c>
      <c r="B69" s="419" t="s">
        <v>53</v>
      </c>
      <c r="F69" s="122"/>
      <c r="G69" s="122"/>
      <c r="H69" s="253"/>
      <c r="I69" s="254"/>
      <c r="J69" s="253"/>
      <c r="K69" s="118">
        <f>(H69+I69)-J69</f>
        <v>0</v>
      </c>
    </row>
    <row r="70" spans="1:11" ht="18" customHeight="1" x14ac:dyDescent="0.2">
      <c r="A70" s="435" t="s">
        <v>178</v>
      </c>
      <c r="B70" s="420"/>
      <c r="C70" s="414"/>
      <c r="D70" s="415"/>
      <c r="E70" s="421"/>
      <c r="F70" s="422"/>
      <c r="G70" s="422"/>
      <c r="H70" s="693"/>
      <c r="I70" s="254"/>
      <c r="J70" s="693"/>
      <c r="K70" s="118">
        <f>(H70+I70)-J70</f>
        <v>0</v>
      </c>
    </row>
    <row r="71" spans="1:11" ht="18" customHeight="1" x14ac:dyDescent="0.2">
      <c r="A71" s="435" t="s">
        <v>179</v>
      </c>
      <c r="B71" s="420"/>
      <c r="C71" s="414"/>
      <c r="D71" s="415"/>
      <c r="E71" s="421"/>
      <c r="F71" s="422"/>
      <c r="G71" s="422"/>
      <c r="H71" s="693"/>
      <c r="I71" s="254"/>
      <c r="J71" s="693"/>
      <c r="K71" s="118">
        <f>(H71+I71)-J71</f>
        <v>0</v>
      </c>
    </row>
    <row r="72" spans="1:11" ht="18" customHeight="1" x14ac:dyDescent="0.2">
      <c r="A72" s="435" t="s">
        <v>180</v>
      </c>
      <c r="B72" s="424"/>
      <c r="C72" s="425"/>
      <c r="D72" s="426"/>
      <c r="E72" s="421"/>
      <c r="F72" s="221"/>
      <c r="G72" s="221"/>
      <c r="H72" s="253"/>
      <c r="I72" s="254"/>
      <c r="J72" s="253"/>
      <c r="K72" s="118">
        <f>(H72+I72)-J72</f>
        <v>0</v>
      </c>
    </row>
    <row r="73" spans="1:11" ht="18" customHeight="1" x14ac:dyDescent="0.2">
      <c r="A73" s="435"/>
      <c r="B73" s="419"/>
      <c r="E73" s="421"/>
      <c r="F73" s="427"/>
      <c r="G73" s="427"/>
      <c r="H73" s="256"/>
      <c r="I73" s="256"/>
      <c r="J73" s="256"/>
      <c r="K73" s="137"/>
    </row>
    <row r="74" spans="1:11" ht="18" customHeight="1" x14ac:dyDescent="0.2">
      <c r="A74" s="455" t="s">
        <v>146</v>
      </c>
      <c r="B74" s="421" t="s">
        <v>147</v>
      </c>
      <c r="E74" s="421" t="s">
        <v>7</v>
      </c>
      <c r="F74" s="122">
        <f t="shared" ref="F74:K74" si="6">SUM(F68:F72)</f>
        <v>0</v>
      </c>
      <c r="G74" s="122">
        <f t="shared" si="6"/>
        <v>0</v>
      </c>
      <c r="H74" s="253">
        <f t="shared" si="6"/>
        <v>0</v>
      </c>
      <c r="I74" s="254">
        <f t="shared" si="6"/>
        <v>0</v>
      </c>
      <c r="J74" s="253">
        <f t="shared" si="6"/>
        <v>0</v>
      </c>
      <c r="K74" s="118">
        <f t="shared" si="6"/>
        <v>0</v>
      </c>
    </row>
    <row r="75" spans="1:11" ht="42.75" customHeight="1" x14ac:dyDescent="0.2">
      <c r="F75" s="454" t="s">
        <v>9</v>
      </c>
      <c r="G75" s="454" t="s">
        <v>37</v>
      </c>
      <c r="H75" s="651" t="s">
        <v>29</v>
      </c>
      <c r="I75" s="651" t="s">
        <v>30</v>
      </c>
      <c r="J75" s="651"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221">
        <v>11050</v>
      </c>
      <c r="I77" s="221">
        <v>4464.4609055279552</v>
      </c>
      <c r="J77" s="221">
        <v>0</v>
      </c>
      <c r="K77" s="118">
        <f>(H77+I77)-J77</f>
        <v>15514.460905527954</v>
      </c>
    </row>
    <row r="78" spans="1:11" ht="18" customHeight="1" x14ac:dyDescent="0.2">
      <c r="A78" s="435" t="s">
        <v>108</v>
      </c>
      <c r="B78" s="419" t="s">
        <v>55</v>
      </c>
      <c r="F78" s="221">
        <v>0</v>
      </c>
      <c r="G78" s="221">
        <v>0</v>
      </c>
      <c r="H78" s="221">
        <v>50000</v>
      </c>
      <c r="I78" s="221">
        <v>20201.180567999796</v>
      </c>
      <c r="J78" s="221">
        <v>0</v>
      </c>
      <c r="K78" s="118">
        <f>(H78+I78)-J78</f>
        <v>70201.180567999792</v>
      </c>
    </row>
    <row r="79" spans="1:11" ht="18" customHeight="1" x14ac:dyDescent="0.2">
      <c r="A79" s="435" t="s">
        <v>109</v>
      </c>
      <c r="B79" s="419" t="s">
        <v>13</v>
      </c>
      <c r="F79" s="221">
        <v>217</v>
      </c>
      <c r="G79" s="221">
        <v>10000</v>
      </c>
      <c r="H79" s="221">
        <v>105691.30825170681</v>
      </c>
      <c r="I79" s="221">
        <v>42701.784049217124</v>
      </c>
      <c r="J79" s="221">
        <v>0</v>
      </c>
      <c r="K79" s="118">
        <f>(H79+I79)-J79</f>
        <v>148393.09230092395</v>
      </c>
    </row>
    <row r="80" spans="1:11" ht="18" customHeight="1" x14ac:dyDescent="0.2">
      <c r="A80" s="435" t="s">
        <v>110</v>
      </c>
      <c r="B80" s="419" t="s">
        <v>56</v>
      </c>
      <c r="F80" s="221"/>
      <c r="G80" s="221"/>
      <c r="H80" s="253"/>
      <c r="I80" s="254"/>
      <c r="J80" s="253"/>
      <c r="K80" s="118">
        <f>(H80+I80)-J80</f>
        <v>0</v>
      </c>
    </row>
    <row r="81" spans="1:11" ht="18" customHeight="1" x14ac:dyDescent="0.2">
      <c r="A81" s="435"/>
      <c r="K81" s="428"/>
    </row>
    <row r="82" spans="1:11" ht="18" customHeight="1" x14ac:dyDescent="0.2">
      <c r="A82" s="435" t="s">
        <v>148</v>
      </c>
      <c r="B82" s="421" t="s">
        <v>149</v>
      </c>
      <c r="E82" s="421" t="s">
        <v>7</v>
      </c>
      <c r="F82" s="122">
        <f t="shared" ref="F82:K82" si="7">SUM(F77:F80)</f>
        <v>217</v>
      </c>
      <c r="G82" s="122">
        <f t="shared" si="7"/>
        <v>10000</v>
      </c>
      <c r="H82" s="253">
        <f t="shared" si="7"/>
        <v>166741.30825170683</v>
      </c>
      <c r="I82" s="253">
        <f t="shared" si="7"/>
        <v>67367.425522744874</v>
      </c>
      <c r="J82" s="253">
        <f t="shared" si="7"/>
        <v>0</v>
      </c>
      <c r="K82" s="118">
        <f t="shared" si="7"/>
        <v>234108.73377445171</v>
      </c>
    </row>
    <row r="83" spans="1:11" ht="18" customHeight="1" thickBot="1" x14ac:dyDescent="0.25">
      <c r="A83" s="435"/>
      <c r="F83" s="469"/>
      <c r="G83" s="469"/>
      <c r="H83" s="846"/>
      <c r="I83" s="846"/>
      <c r="J83" s="846"/>
      <c r="K83" s="469"/>
    </row>
    <row r="84" spans="1:11" ht="42.75" customHeight="1" x14ac:dyDescent="0.2">
      <c r="F84" s="454" t="s">
        <v>9</v>
      </c>
      <c r="G84" s="454" t="s">
        <v>37</v>
      </c>
      <c r="H84" s="651" t="s">
        <v>29</v>
      </c>
      <c r="I84" s="651" t="s">
        <v>30</v>
      </c>
      <c r="J84" s="651" t="s">
        <v>33</v>
      </c>
      <c r="K84" s="454" t="s">
        <v>34</v>
      </c>
    </row>
    <row r="85" spans="1:11" ht="18" customHeight="1" x14ac:dyDescent="0.2">
      <c r="A85" s="455" t="s">
        <v>111</v>
      </c>
      <c r="B85" s="421" t="s">
        <v>57</v>
      </c>
    </row>
    <row r="86" spans="1:11" ht="18" customHeight="1" x14ac:dyDescent="0.2">
      <c r="A86" s="435" t="s">
        <v>112</v>
      </c>
      <c r="B86" s="419" t="s">
        <v>113</v>
      </c>
      <c r="F86" s="221"/>
      <c r="G86" s="221"/>
      <c r="H86" s="253"/>
      <c r="I86" s="254"/>
      <c r="J86" s="253"/>
      <c r="K86" s="118">
        <f t="shared" ref="K86:K96" si="8">(H86+I86)-J86</f>
        <v>0</v>
      </c>
    </row>
    <row r="87" spans="1:11" ht="18" customHeight="1" x14ac:dyDescent="0.2">
      <c r="A87" s="435" t="s">
        <v>114</v>
      </c>
      <c r="B87" s="419" t="s">
        <v>14</v>
      </c>
      <c r="F87" s="221">
        <v>60</v>
      </c>
      <c r="G87" s="221">
        <v>0</v>
      </c>
      <c r="H87" s="221">
        <v>19264.887074204653</v>
      </c>
      <c r="I87" s="221">
        <v>7783.4692481626689</v>
      </c>
      <c r="J87" s="221">
        <v>13186</v>
      </c>
      <c r="K87" s="118">
        <f t="shared" si="8"/>
        <v>13862.356322367323</v>
      </c>
    </row>
    <row r="88" spans="1:11" ht="18" customHeight="1" x14ac:dyDescent="0.2">
      <c r="A88" s="435" t="s">
        <v>115</v>
      </c>
      <c r="B88" s="419" t="s">
        <v>116</v>
      </c>
      <c r="F88" s="221"/>
      <c r="G88" s="221"/>
      <c r="H88" s="221"/>
      <c r="I88" s="221"/>
      <c r="J88" s="221"/>
      <c r="K88" s="118">
        <f t="shared" si="8"/>
        <v>0</v>
      </c>
    </row>
    <row r="89" spans="1:11" ht="18" customHeight="1" x14ac:dyDescent="0.2">
      <c r="A89" s="435" t="s">
        <v>117</v>
      </c>
      <c r="B89" s="419" t="s">
        <v>58</v>
      </c>
      <c r="F89" s="221"/>
      <c r="G89" s="221"/>
      <c r="H89" s="221"/>
      <c r="I89" s="221"/>
      <c r="J89" s="221"/>
      <c r="K89" s="118">
        <f t="shared" si="8"/>
        <v>0</v>
      </c>
    </row>
    <row r="90" spans="1:11" ht="18" customHeight="1" x14ac:dyDescent="0.2">
      <c r="A90" s="435" t="s">
        <v>118</v>
      </c>
      <c r="B90" s="465" t="s">
        <v>59</v>
      </c>
      <c r="C90" s="466"/>
      <c r="F90" s="221"/>
      <c r="G90" s="221"/>
      <c r="H90" s="221"/>
      <c r="I90" s="221"/>
      <c r="J90" s="221"/>
      <c r="K90" s="118">
        <f t="shared" si="8"/>
        <v>0</v>
      </c>
    </row>
    <row r="91" spans="1:11" ht="18" customHeight="1" x14ac:dyDescent="0.2">
      <c r="A91" s="435" t="s">
        <v>119</v>
      </c>
      <c r="B91" s="419" t="s">
        <v>60</v>
      </c>
      <c r="F91" s="221">
        <v>502</v>
      </c>
      <c r="G91" s="221">
        <v>0</v>
      </c>
      <c r="H91" s="221">
        <v>18230.021854178896</v>
      </c>
      <c r="I91" s="221">
        <v>7365.3592646970064</v>
      </c>
      <c r="J91" s="221">
        <v>0</v>
      </c>
      <c r="K91" s="118">
        <f t="shared" si="8"/>
        <v>25595.381118875903</v>
      </c>
    </row>
    <row r="92" spans="1:11" ht="18" customHeight="1" x14ac:dyDescent="0.2">
      <c r="A92" s="435" t="s">
        <v>120</v>
      </c>
      <c r="B92" s="419" t="s">
        <v>121</v>
      </c>
      <c r="F92" s="257">
        <v>53</v>
      </c>
      <c r="G92" s="257">
        <v>0</v>
      </c>
      <c r="H92" s="257">
        <v>6924.6835822141065</v>
      </c>
      <c r="I92" s="257">
        <v>2797.7356684114166</v>
      </c>
      <c r="J92" s="257">
        <v>0</v>
      </c>
      <c r="K92" s="118">
        <f t="shared" si="8"/>
        <v>9722.419250625524</v>
      </c>
    </row>
    <row r="93" spans="1:11" ht="18" customHeight="1" x14ac:dyDescent="0.2">
      <c r="A93" s="435" t="s">
        <v>122</v>
      </c>
      <c r="B93" s="419" t="s">
        <v>123</v>
      </c>
      <c r="F93" s="221">
        <v>0</v>
      </c>
      <c r="G93" s="221">
        <v>0</v>
      </c>
      <c r="H93" s="221">
        <v>0</v>
      </c>
      <c r="I93" s="221">
        <v>0</v>
      </c>
      <c r="J93" s="221">
        <v>0</v>
      </c>
      <c r="K93" s="118">
        <f t="shared" si="8"/>
        <v>0</v>
      </c>
    </row>
    <row r="94" spans="1:11" ht="18" customHeight="1" x14ac:dyDescent="0.2">
      <c r="A94" s="435" t="s">
        <v>124</v>
      </c>
      <c r="B94" s="418"/>
      <c r="C94" s="417"/>
      <c r="D94" s="412"/>
      <c r="F94" s="221"/>
      <c r="G94" s="221"/>
      <c r="H94" s="253"/>
      <c r="I94" s="254"/>
      <c r="J94" s="253"/>
      <c r="K94" s="118">
        <f t="shared" si="8"/>
        <v>0</v>
      </c>
    </row>
    <row r="95" spans="1:11" ht="18" customHeight="1" x14ac:dyDescent="0.2">
      <c r="A95" s="435" t="s">
        <v>125</v>
      </c>
      <c r="B95" s="418"/>
      <c r="C95" s="417"/>
      <c r="D95" s="412"/>
      <c r="F95" s="221"/>
      <c r="G95" s="221"/>
      <c r="H95" s="253"/>
      <c r="I95" s="254"/>
      <c r="J95" s="253"/>
      <c r="K95" s="118">
        <f t="shared" si="8"/>
        <v>0</v>
      </c>
    </row>
    <row r="96" spans="1:11" ht="18" customHeight="1" x14ac:dyDescent="0.2">
      <c r="A96" s="435" t="s">
        <v>126</v>
      </c>
      <c r="B96" s="418"/>
      <c r="C96" s="417"/>
      <c r="D96" s="412"/>
      <c r="F96" s="221"/>
      <c r="G96" s="221"/>
      <c r="H96" s="253"/>
      <c r="I96" s="254"/>
      <c r="J96" s="253"/>
      <c r="K96" s="118">
        <f t="shared" si="8"/>
        <v>0</v>
      </c>
    </row>
    <row r="97" spans="1:11" ht="18" customHeight="1" x14ac:dyDescent="0.2">
      <c r="A97" s="435"/>
      <c r="B97" s="419"/>
    </row>
    <row r="98" spans="1:11" ht="18" customHeight="1" x14ac:dyDescent="0.2">
      <c r="A98" s="455" t="s">
        <v>150</v>
      </c>
      <c r="B98" s="421" t="s">
        <v>151</v>
      </c>
      <c r="E98" s="421" t="s">
        <v>7</v>
      </c>
      <c r="F98" s="221">
        <f t="shared" ref="F98:K98" si="9">SUM(F86:F96)</f>
        <v>615</v>
      </c>
      <c r="G98" s="221">
        <f t="shared" si="9"/>
        <v>0</v>
      </c>
      <c r="H98" s="253">
        <f t="shared" si="9"/>
        <v>44419.592510597657</v>
      </c>
      <c r="I98" s="253">
        <f t="shared" si="9"/>
        <v>17946.564181271093</v>
      </c>
      <c r="J98" s="253">
        <f t="shared" si="9"/>
        <v>13186</v>
      </c>
      <c r="K98" s="221">
        <f t="shared" si="9"/>
        <v>49180.156691868746</v>
      </c>
    </row>
    <row r="99" spans="1:11" ht="18" customHeight="1" thickBot="1" x14ac:dyDescent="0.25">
      <c r="B99" s="421"/>
      <c r="F99" s="469"/>
      <c r="G99" s="469"/>
      <c r="H99" s="846"/>
      <c r="I99" s="846"/>
      <c r="J99" s="846"/>
      <c r="K99" s="469"/>
    </row>
    <row r="100" spans="1:11" ht="42.75" customHeight="1" x14ac:dyDescent="0.2">
      <c r="F100" s="454" t="s">
        <v>9</v>
      </c>
      <c r="G100" s="454" t="s">
        <v>37</v>
      </c>
      <c r="H100" s="651" t="s">
        <v>29</v>
      </c>
      <c r="I100" s="651" t="s">
        <v>30</v>
      </c>
      <c r="J100" s="651" t="s">
        <v>33</v>
      </c>
      <c r="K100" s="454" t="s">
        <v>34</v>
      </c>
    </row>
    <row r="101" spans="1:11" ht="18" customHeight="1" x14ac:dyDescent="0.2">
      <c r="A101" s="455" t="s">
        <v>130</v>
      </c>
      <c r="B101" s="421" t="s">
        <v>63</v>
      </c>
    </row>
    <row r="102" spans="1:11" ht="18" customHeight="1" x14ac:dyDescent="0.2">
      <c r="A102" s="435" t="s">
        <v>131</v>
      </c>
      <c r="B102" s="419" t="s">
        <v>152</v>
      </c>
      <c r="F102" s="221">
        <v>260</v>
      </c>
      <c r="G102" s="221">
        <v>0</v>
      </c>
      <c r="H102" s="221">
        <v>9441.8439882201437</v>
      </c>
      <c r="I102" s="221">
        <v>3814.7279060183691</v>
      </c>
      <c r="J102" s="221">
        <v>0</v>
      </c>
      <c r="K102" s="118">
        <f>(H102+I102)-J102</f>
        <v>13256.571894238514</v>
      </c>
    </row>
    <row r="103" spans="1:11" ht="18" customHeight="1" x14ac:dyDescent="0.2">
      <c r="A103" s="435" t="s">
        <v>132</v>
      </c>
      <c r="B103" s="465" t="s">
        <v>62</v>
      </c>
      <c r="C103" s="465"/>
      <c r="F103" s="221">
        <v>800</v>
      </c>
      <c r="G103" s="221">
        <v>0</v>
      </c>
      <c r="H103" s="221">
        <v>29051.827656061982</v>
      </c>
      <c r="I103" s="221">
        <v>11737.624326210367</v>
      </c>
      <c r="J103" s="221">
        <v>0</v>
      </c>
      <c r="K103" s="118">
        <f>(H103+I103)-J103</f>
        <v>40789.451982272352</v>
      </c>
    </row>
    <row r="104" spans="1:11" ht="18" customHeight="1" x14ac:dyDescent="0.2">
      <c r="A104" s="435" t="s">
        <v>128</v>
      </c>
      <c r="B104" s="418"/>
      <c r="C104" s="417"/>
      <c r="D104" s="412"/>
      <c r="F104" s="221"/>
      <c r="G104" s="221"/>
      <c r="H104" s="253"/>
      <c r="I104" s="254"/>
      <c r="J104" s="253"/>
      <c r="K104" s="118">
        <f>(H104+I104)-J104</f>
        <v>0</v>
      </c>
    </row>
    <row r="105" spans="1:11" ht="18" customHeight="1" x14ac:dyDescent="0.2">
      <c r="A105" s="435" t="s">
        <v>127</v>
      </c>
      <c r="B105" s="418"/>
      <c r="C105" s="417"/>
      <c r="D105" s="412"/>
      <c r="F105" s="221"/>
      <c r="G105" s="221"/>
      <c r="H105" s="253"/>
      <c r="I105" s="254"/>
      <c r="J105" s="253"/>
      <c r="K105" s="118">
        <f>(H105+I105)-J105</f>
        <v>0</v>
      </c>
    </row>
    <row r="106" spans="1:11" ht="18" customHeight="1" x14ac:dyDescent="0.2">
      <c r="A106" s="435" t="s">
        <v>129</v>
      </c>
      <c r="B106" s="418"/>
      <c r="C106" s="417"/>
      <c r="D106" s="412"/>
      <c r="F106" s="221"/>
      <c r="G106" s="221"/>
      <c r="H106" s="253"/>
      <c r="I106" s="254"/>
      <c r="J106" s="253"/>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0">SUM(F102:F106)</f>
        <v>1060</v>
      </c>
      <c r="G108" s="221">
        <f t="shared" si="10"/>
        <v>0</v>
      </c>
      <c r="H108" s="253">
        <f t="shared" si="10"/>
        <v>38493.671644282127</v>
      </c>
      <c r="I108" s="253">
        <f t="shared" si="10"/>
        <v>15552.352232228735</v>
      </c>
      <c r="J108" s="253">
        <f t="shared" si="10"/>
        <v>0</v>
      </c>
      <c r="K108" s="118">
        <f t="shared" si="10"/>
        <v>54046.023876510866</v>
      </c>
    </row>
    <row r="109" spans="1:11" s="468" customFormat="1" ht="18" customHeight="1" thickBot="1" x14ac:dyDescent="0.25">
      <c r="A109" s="482"/>
      <c r="B109" s="483"/>
      <c r="C109" s="484"/>
      <c r="D109" s="484"/>
      <c r="E109" s="484"/>
      <c r="F109" s="469"/>
      <c r="G109" s="469"/>
      <c r="H109" s="846"/>
      <c r="I109" s="846"/>
      <c r="J109" s="846"/>
      <c r="K109" s="469"/>
    </row>
    <row r="110" spans="1:11" s="468" customFormat="1" ht="18" customHeight="1" x14ac:dyDescent="0.2">
      <c r="A110" s="455" t="s">
        <v>156</v>
      </c>
      <c r="B110" s="421" t="s">
        <v>39</v>
      </c>
      <c r="C110" s="259"/>
      <c r="D110" s="259"/>
      <c r="E110" s="259"/>
      <c r="F110" s="259"/>
      <c r="G110" s="419"/>
      <c r="H110" s="851"/>
      <c r="I110" s="648"/>
      <c r="J110" s="851"/>
      <c r="K110" s="259"/>
    </row>
    <row r="111" spans="1:11" ht="18" customHeight="1" x14ac:dyDescent="0.2">
      <c r="A111" s="455" t="s">
        <v>155</v>
      </c>
      <c r="B111" s="421" t="s">
        <v>164</v>
      </c>
      <c r="E111" s="421" t="s">
        <v>7</v>
      </c>
      <c r="F111" s="253">
        <v>2800988.0000000005</v>
      </c>
      <c r="G111" s="852"/>
      <c r="I111" s="853"/>
      <c r="J111" s="854"/>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0.40402361135999593</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03">
        <v>203805227.03999996</v>
      </c>
    </row>
    <row r="118" spans="1:6" ht="18" customHeight="1" x14ac:dyDescent="0.2">
      <c r="A118" s="435" t="s">
        <v>173</v>
      </c>
      <c r="B118" s="259" t="s">
        <v>18</v>
      </c>
      <c r="F118" s="103">
        <v>4356731.6199999992</v>
      </c>
    </row>
    <row r="119" spans="1:6" ht="18" customHeight="1" x14ac:dyDescent="0.2">
      <c r="A119" s="435" t="s">
        <v>174</v>
      </c>
      <c r="B119" s="421" t="s">
        <v>19</v>
      </c>
      <c r="F119" s="103">
        <f>SUM(F117:F118)</f>
        <v>208161958.65999997</v>
      </c>
    </row>
    <row r="120" spans="1:6" ht="18" customHeight="1" x14ac:dyDescent="0.2">
      <c r="A120" s="435"/>
      <c r="B120" s="421"/>
      <c r="F120" s="261"/>
    </row>
    <row r="121" spans="1:6" ht="18" customHeight="1" x14ac:dyDescent="0.2">
      <c r="A121" s="435" t="s">
        <v>167</v>
      </c>
      <c r="B121" s="421" t="s">
        <v>36</v>
      </c>
      <c r="F121" s="103">
        <v>187273585.99999994</v>
      </c>
    </row>
    <row r="122" spans="1:6" ht="18" customHeight="1" x14ac:dyDescent="0.2">
      <c r="A122" s="435"/>
      <c r="F122" s="261"/>
    </row>
    <row r="123" spans="1:6" ht="18" customHeight="1" x14ac:dyDescent="0.2">
      <c r="A123" s="435" t="s">
        <v>175</v>
      </c>
      <c r="B123" s="421" t="s">
        <v>20</v>
      </c>
      <c r="F123" s="103">
        <f>-F121+F119</f>
        <v>20888372.660000026</v>
      </c>
    </row>
    <row r="124" spans="1:6" ht="18" customHeight="1" x14ac:dyDescent="0.2">
      <c r="A124" s="435"/>
    </row>
    <row r="125" spans="1:6" ht="18" customHeight="1" x14ac:dyDescent="0.2">
      <c r="A125" s="435" t="s">
        <v>176</v>
      </c>
      <c r="B125" s="421" t="s">
        <v>21</v>
      </c>
      <c r="F125" s="103">
        <v>7520221.3000000007</v>
      </c>
    </row>
    <row r="126" spans="1:6" ht="18" customHeight="1" x14ac:dyDescent="0.2">
      <c r="A126" s="435"/>
      <c r="F126" s="261"/>
    </row>
    <row r="127" spans="1:6" ht="18" customHeight="1" x14ac:dyDescent="0.2">
      <c r="A127" s="435" t="s">
        <v>177</v>
      </c>
      <c r="B127" s="421" t="s">
        <v>22</v>
      </c>
      <c r="F127" s="103">
        <f>+F123+F125</f>
        <v>28408593.960000027</v>
      </c>
    </row>
    <row r="128" spans="1:6" ht="18" customHeight="1" x14ac:dyDescent="0.2">
      <c r="A128" s="435"/>
    </row>
    <row r="129" spans="1:11" ht="42.75" customHeight="1" x14ac:dyDescent="0.2">
      <c r="F129" s="454" t="s">
        <v>9</v>
      </c>
      <c r="G129" s="454" t="s">
        <v>37</v>
      </c>
      <c r="H129" s="651" t="s">
        <v>29</v>
      </c>
      <c r="I129" s="651" t="s">
        <v>30</v>
      </c>
      <c r="J129" s="651" t="s">
        <v>33</v>
      </c>
      <c r="K129" s="454" t="s">
        <v>34</v>
      </c>
    </row>
    <row r="130" spans="1:11" ht="18" customHeight="1" x14ac:dyDescent="0.2">
      <c r="A130" s="455" t="s">
        <v>157</v>
      </c>
      <c r="B130" s="421" t="s">
        <v>23</v>
      </c>
    </row>
    <row r="131" spans="1:11" ht="18" customHeight="1" x14ac:dyDescent="0.2">
      <c r="A131" s="435" t="s">
        <v>158</v>
      </c>
      <c r="B131" s="259" t="s">
        <v>24</v>
      </c>
      <c r="F131" s="221"/>
      <c r="G131" s="221"/>
      <c r="H131" s="253">
        <v>68045</v>
      </c>
      <c r="I131" s="254">
        <v>0</v>
      </c>
      <c r="J131" s="253">
        <v>16536</v>
      </c>
      <c r="K131" s="118">
        <f>(H131+I131)-J131</f>
        <v>51509</v>
      </c>
    </row>
    <row r="132" spans="1:11" ht="18" customHeight="1" x14ac:dyDescent="0.2">
      <c r="A132" s="435" t="s">
        <v>159</v>
      </c>
      <c r="B132" s="259" t="s">
        <v>25</v>
      </c>
      <c r="F132" s="221"/>
      <c r="G132" s="221"/>
      <c r="H132" s="253">
        <v>298797</v>
      </c>
      <c r="I132" s="254">
        <v>0</v>
      </c>
      <c r="J132" s="253">
        <v>5000</v>
      </c>
      <c r="K132" s="118">
        <f>(H132+I132)-J132</f>
        <v>293797</v>
      </c>
    </row>
    <row r="133" spans="1:11" ht="18" customHeight="1" x14ac:dyDescent="0.2">
      <c r="A133" s="435" t="s">
        <v>160</v>
      </c>
      <c r="B133" s="416"/>
      <c r="C133" s="417"/>
      <c r="D133" s="412"/>
      <c r="F133" s="221"/>
      <c r="G133" s="221"/>
      <c r="H133" s="253">
        <v>0</v>
      </c>
      <c r="I133" s="254"/>
      <c r="J133" s="253">
        <v>0</v>
      </c>
      <c r="K133" s="118">
        <f>(H133+I133)-J133</f>
        <v>0</v>
      </c>
    </row>
    <row r="134" spans="1:11" ht="18" customHeight="1" x14ac:dyDescent="0.2">
      <c r="A134" s="435" t="s">
        <v>161</v>
      </c>
      <c r="B134" s="456"/>
      <c r="C134" s="457"/>
      <c r="D134" s="458"/>
      <c r="F134" s="221"/>
      <c r="G134" s="221"/>
      <c r="H134" s="253"/>
      <c r="I134" s="254"/>
      <c r="J134" s="253"/>
      <c r="K134" s="118">
        <f>(H134+I134)-J134</f>
        <v>0</v>
      </c>
    </row>
    <row r="135" spans="1:11" ht="18" customHeight="1" x14ac:dyDescent="0.2">
      <c r="A135" s="435" t="s">
        <v>162</v>
      </c>
      <c r="B135" s="456"/>
      <c r="C135" s="457"/>
      <c r="D135" s="458"/>
      <c r="F135" s="221"/>
      <c r="G135" s="221"/>
      <c r="H135" s="253"/>
      <c r="I135" s="254"/>
      <c r="J135" s="253"/>
      <c r="K135" s="118">
        <f>(H135+I135)-J135</f>
        <v>0</v>
      </c>
    </row>
    <row r="136" spans="1:11" ht="18" customHeight="1" x14ac:dyDescent="0.2">
      <c r="A136" s="455"/>
    </row>
    <row r="137" spans="1:11" ht="18" customHeight="1" x14ac:dyDescent="0.2">
      <c r="A137" s="455" t="s">
        <v>163</v>
      </c>
      <c r="B137" s="421" t="s">
        <v>27</v>
      </c>
      <c r="F137" s="221">
        <f t="shared" ref="F137:K137" si="11">SUM(F131:F135)</f>
        <v>0</v>
      </c>
      <c r="G137" s="221">
        <f t="shared" si="11"/>
        <v>0</v>
      </c>
      <c r="H137" s="253">
        <f t="shared" si="11"/>
        <v>366842</v>
      </c>
      <c r="I137" s="253">
        <f t="shared" si="11"/>
        <v>0</v>
      </c>
      <c r="J137" s="253">
        <f t="shared" si="11"/>
        <v>21536</v>
      </c>
      <c r="K137" s="118">
        <f t="shared" si="11"/>
        <v>345306</v>
      </c>
    </row>
    <row r="138" spans="1:11" ht="18" customHeight="1" x14ac:dyDescent="0.2">
      <c r="A138" s="259"/>
    </row>
    <row r="139" spans="1:11" ht="42.75" customHeight="1" x14ac:dyDescent="0.2">
      <c r="F139" s="454" t="s">
        <v>9</v>
      </c>
      <c r="G139" s="454" t="s">
        <v>37</v>
      </c>
      <c r="H139" s="651" t="s">
        <v>29</v>
      </c>
      <c r="I139" s="651" t="s">
        <v>30</v>
      </c>
      <c r="J139" s="651"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2">F36</f>
        <v>6307</v>
      </c>
      <c r="G141" s="422">
        <f t="shared" si="12"/>
        <v>6571</v>
      </c>
      <c r="H141" s="693">
        <f t="shared" si="12"/>
        <v>285597.80361911905</v>
      </c>
      <c r="I141" s="693">
        <f t="shared" si="12"/>
        <v>114801.37479836888</v>
      </c>
      <c r="J141" s="693">
        <f t="shared" si="12"/>
        <v>460</v>
      </c>
      <c r="K141" s="422">
        <f t="shared" si="12"/>
        <v>399939.17841748794</v>
      </c>
    </row>
    <row r="142" spans="1:11" ht="18" customHeight="1" x14ac:dyDescent="0.2">
      <c r="A142" s="435" t="s">
        <v>142</v>
      </c>
      <c r="B142" s="421" t="s">
        <v>65</v>
      </c>
      <c r="F142" s="422">
        <f t="shared" ref="F142:K142" si="13">F49</f>
        <v>13911.889153057002</v>
      </c>
      <c r="G142" s="422">
        <f t="shared" si="13"/>
        <v>88</v>
      </c>
      <c r="H142" s="693">
        <f t="shared" si="13"/>
        <v>1059139.7791650088</v>
      </c>
      <c r="I142" s="693">
        <f t="shared" si="13"/>
        <v>123074.38551640724</v>
      </c>
      <c r="J142" s="693">
        <f t="shared" si="13"/>
        <v>0</v>
      </c>
      <c r="K142" s="422">
        <f t="shared" si="13"/>
        <v>1182214.164681416</v>
      </c>
    </row>
    <row r="143" spans="1:11" ht="18" customHeight="1" x14ac:dyDescent="0.2">
      <c r="A143" s="435" t="s">
        <v>144</v>
      </c>
      <c r="B143" s="421" t="s">
        <v>66</v>
      </c>
      <c r="F143" s="422">
        <f t="shared" ref="F143:K143" si="14">F64</f>
        <v>356902.39942470583</v>
      </c>
      <c r="G143" s="422">
        <f t="shared" si="14"/>
        <v>59128</v>
      </c>
      <c r="H143" s="693">
        <f t="shared" si="14"/>
        <v>18896189.202241641</v>
      </c>
      <c r="I143" s="693">
        <f t="shared" si="14"/>
        <v>6972071.3300858159</v>
      </c>
      <c r="J143" s="693">
        <f t="shared" si="14"/>
        <v>15482</v>
      </c>
      <c r="K143" s="422">
        <f t="shared" si="14"/>
        <v>25852778.532327458</v>
      </c>
    </row>
    <row r="144" spans="1:11" ht="18" customHeight="1" x14ac:dyDescent="0.2">
      <c r="A144" s="435" t="s">
        <v>146</v>
      </c>
      <c r="B144" s="421" t="s">
        <v>67</v>
      </c>
      <c r="F144" s="422">
        <f t="shared" ref="F144:K144" si="15">F74</f>
        <v>0</v>
      </c>
      <c r="G144" s="422">
        <f t="shared" si="15"/>
        <v>0</v>
      </c>
      <c r="H144" s="693">
        <f t="shared" si="15"/>
        <v>0</v>
      </c>
      <c r="I144" s="693">
        <f t="shared" si="15"/>
        <v>0</v>
      </c>
      <c r="J144" s="693">
        <f t="shared" si="15"/>
        <v>0</v>
      </c>
      <c r="K144" s="422">
        <f t="shared" si="15"/>
        <v>0</v>
      </c>
    </row>
    <row r="145" spans="1:11" ht="18" customHeight="1" x14ac:dyDescent="0.2">
      <c r="A145" s="435" t="s">
        <v>148</v>
      </c>
      <c r="B145" s="421" t="s">
        <v>68</v>
      </c>
      <c r="F145" s="422">
        <f t="shared" ref="F145:K145" si="16">F82</f>
        <v>217</v>
      </c>
      <c r="G145" s="422">
        <f t="shared" si="16"/>
        <v>10000</v>
      </c>
      <c r="H145" s="693">
        <f t="shared" si="16"/>
        <v>166741.30825170683</v>
      </c>
      <c r="I145" s="693">
        <f t="shared" si="16"/>
        <v>67367.425522744874</v>
      </c>
      <c r="J145" s="693">
        <f t="shared" si="16"/>
        <v>0</v>
      </c>
      <c r="K145" s="422">
        <f t="shared" si="16"/>
        <v>234108.73377445171</v>
      </c>
    </row>
    <row r="146" spans="1:11" ht="18" customHeight="1" x14ac:dyDescent="0.2">
      <c r="A146" s="435" t="s">
        <v>150</v>
      </c>
      <c r="B146" s="421" t="s">
        <v>69</v>
      </c>
      <c r="F146" s="422">
        <f t="shared" ref="F146:K146" si="17">F98</f>
        <v>615</v>
      </c>
      <c r="G146" s="422">
        <f t="shared" si="17"/>
        <v>0</v>
      </c>
      <c r="H146" s="693">
        <f t="shared" si="17"/>
        <v>44419.592510597657</v>
      </c>
      <c r="I146" s="693">
        <f t="shared" si="17"/>
        <v>17946.564181271093</v>
      </c>
      <c r="J146" s="693">
        <f t="shared" si="17"/>
        <v>13186</v>
      </c>
      <c r="K146" s="422">
        <f t="shared" si="17"/>
        <v>49180.156691868746</v>
      </c>
    </row>
    <row r="147" spans="1:11" ht="18" customHeight="1" x14ac:dyDescent="0.2">
      <c r="A147" s="435" t="s">
        <v>153</v>
      </c>
      <c r="B147" s="421" t="s">
        <v>61</v>
      </c>
      <c r="F147" s="221">
        <f t="shared" ref="F147:K147" si="18">F108</f>
        <v>1060</v>
      </c>
      <c r="G147" s="221">
        <f t="shared" si="18"/>
        <v>0</v>
      </c>
      <c r="H147" s="253">
        <f t="shared" si="18"/>
        <v>38493.671644282127</v>
      </c>
      <c r="I147" s="253">
        <f t="shared" si="18"/>
        <v>15552.352232228735</v>
      </c>
      <c r="J147" s="253">
        <f t="shared" si="18"/>
        <v>0</v>
      </c>
      <c r="K147" s="221">
        <f t="shared" si="18"/>
        <v>54046.023876510866</v>
      </c>
    </row>
    <row r="148" spans="1:11" ht="18" customHeight="1" x14ac:dyDescent="0.2">
      <c r="A148" s="435" t="s">
        <v>155</v>
      </c>
      <c r="B148" s="421" t="s">
        <v>70</v>
      </c>
      <c r="F148" s="485" t="s">
        <v>73</v>
      </c>
      <c r="G148" s="485" t="s">
        <v>73</v>
      </c>
      <c r="H148" s="697" t="s">
        <v>73</v>
      </c>
      <c r="I148" s="697" t="s">
        <v>73</v>
      </c>
      <c r="J148" s="697" t="s">
        <v>73</v>
      </c>
      <c r="K148" s="423">
        <f>F111</f>
        <v>2800988.0000000005</v>
      </c>
    </row>
    <row r="149" spans="1:11" ht="18" customHeight="1" x14ac:dyDescent="0.2">
      <c r="A149" s="435" t="s">
        <v>163</v>
      </c>
      <c r="B149" s="421" t="s">
        <v>71</v>
      </c>
      <c r="F149" s="221">
        <f t="shared" ref="F149:K149" si="19">F137</f>
        <v>0</v>
      </c>
      <c r="G149" s="221">
        <f t="shared" si="19"/>
        <v>0</v>
      </c>
      <c r="H149" s="253">
        <f t="shared" si="19"/>
        <v>366842</v>
      </c>
      <c r="I149" s="253">
        <f t="shared" si="19"/>
        <v>0</v>
      </c>
      <c r="J149" s="253">
        <f t="shared" si="19"/>
        <v>21536</v>
      </c>
      <c r="K149" s="221">
        <f t="shared" si="19"/>
        <v>345306</v>
      </c>
    </row>
    <row r="150" spans="1:11" ht="18" customHeight="1" x14ac:dyDescent="0.2">
      <c r="A150" s="435" t="s">
        <v>185</v>
      </c>
      <c r="B150" s="421" t="s">
        <v>186</v>
      </c>
      <c r="F150" s="485" t="s">
        <v>73</v>
      </c>
      <c r="G150" s="485" t="s">
        <v>73</v>
      </c>
      <c r="H150" s="253">
        <f>H18</f>
        <v>4545802.446031658</v>
      </c>
      <c r="I150" s="253">
        <f>I18</f>
        <v>0</v>
      </c>
      <c r="J150" s="253">
        <f>J18</f>
        <v>3842100.0911245099</v>
      </c>
      <c r="K150" s="221">
        <f>K18</f>
        <v>703702.35490714805</v>
      </c>
    </row>
    <row r="151" spans="1:11" ht="18" customHeight="1" x14ac:dyDescent="0.2">
      <c r="B151" s="421"/>
      <c r="F151" s="478"/>
      <c r="G151" s="478"/>
      <c r="H151" s="699"/>
      <c r="I151" s="699"/>
      <c r="J151" s="699"/>
      <c r="K151" s="478"/>
    </row>
    <row r="152" spans="1:11" ht="18" customHeight="1" x14ac:dyDescent="0.2">
      <c r="A152" s="455" t="s">
        <v>165</v>
      </c>
      <c r="B152" s="421" t="s">
        <v>26</v>
      </c>
      <c r="F152" s="487">
        <f t="shared" ref="F152:K152" si="20">SUM(F141:F150)</f>
        <v>379013.28857776284</v>
      </c>
      <c r="G152" s="487">
        <f t="shared" si="20"/>
        <v>75787</v>
      </c>
      <c r="H152" s="701">
        <f t="shared" si="20"/>
        <v>25403225.80346401</v>
      </c>
      <c r="I152" s="701">
        <f t="shared" si="20"/>
        <v>7310813.4323368371</v>
      </c>
      <c r="J152" s="701">
        <f t="shared" si="20"/>
        <v>3892764.0911245099</v>
      </c>
      <c r="K152" s="487">
        <f t="shared" si="20"/>
        <v>31622263.144676343</v>
      </c>
    </row>
    <row r="154" spans="1:11" ht="18" customHeight="1" x14ac:dyDescent="0.2">
      <c r="A154" s="455" t="s">
        <v>168</v>
      </c>
      <c r="B154" s="421" t="s">
        <v>28</v>
      </c>
      <c r="F154" s="147">
        <f>K152/F121</f>
        <v>0.16885597066890337</v>
      </c>
    </row>
    <row r="155" spans="1:11" ht="18" customHeight="1" x14ac:dyDescent="0.2">
      <c r="A155" s="455" t="s">
        <v>169</v>
      </c>
      <c r="B155" s="421" t="s">
        <v>72</v>
      </c>
      <c r="F155" s="147">
        <f>K152/F127</f>
        <v>1.1131231341192471</v>
      </c>
      <c r="G155" s="421"/>
    </row>
    <row r="156" spans="1:11" ht="18" customHeight="1" x14ac:dyDescent="0.2">
      <c r="G156" s="421"/>
    </row>
  </sheetData>
  <sheetProtection algorithmName="SHA-512" hashValue="l+e5AnIEvFrPNPd4ZnIQ5pcTa1Xv7ArIRvLBPM52DksV/WkqXop+HLscSLoQFCcEWHrxbnqfXMK45GewizxNuA==" saltValue="jdGQC4lzwDhy65MDlLKOQA==" spinCount="100000" sheet="1" objects="1" scenarios="1"/>
  <mergeCells count="27">
    <mergeCell ref="B133:D133"/>
    <mergeCell ref="B134:D134"/>
    <mergeCell ref="B135:D135"/>
    <mergeCell ref="B31:D31"/>
    <mergeCell ref="B34:D34"/>
    <mergeCell ref="B44:D44"/>
    <mergeCell ref="B45:D45"/>
    <mergeCell ref="B46:D46"/>
    <mergeCell ref="B90:C90"/>
    <mergeCell ref="B94:D94"/>
    <mergeCell ref="B95:D95"/>
    <mergeCell ref="B96:D96"/>
    <mergeCell ref="B103:C103"/>
    <mergeCell ref="B104:D104"/>
    <mergeCell ref="B105:D105"/>
    <mergeCell ref="B106:D106"/>
    <mergeCell ref="B41:C41"/>
    <mergeCell ref="B47:D47"/>
    <mergeCell ref="B52:C52"/>
    <mergeCell ref="C11:G11"/>
    <mergeCell ref="B13:H13"/>
    <mergeCell ref="B30:D30"/>
    <mergeCell ref="C5:G5"/>
    <mergeCell ref="C6:G6"/>
    <mergeCell ref="C7:G7"/>
    <mergeCell ref="C9:G9"/>
    <mergeCell ref="C10:G10"/>
  </mergeCells>
  <hyperlinks>
    <hyperlink ref="C11" r:id="rId1"/>
  </hyperlinks>
  <pageMargins left="0.75" right="0.75" top="1" bottom="1" header="0.5" footer="0.5"/>
  <pageSetup scale="59" fitToHeight="0" orientation="landscape" horizontalDpi="1200" verticalDpi="1200" r:id="rId2"/>
  <headerFooter alignWithMargins="0"/>
  <rowBreaks count="4" manualBreakCount="4">
    <brk id="37" max="16383" man="1"/>
    <brk id="67" max="16383" man="1"/>
    <brk id="112" max="16383" man="1"/>
    <brk id="13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156"/>
  <sheetViews>
    <sheetView showGridLines="0" zoomScale="80" zoomScaleNormal="80" zoomScaleSheetLayoutView="100" zoomScalePageLayoutView="80" workbookViewId="0"/>
  </sheetViews>
  <sheetFormatPr defaultRowHeight="18" customHeight="1" x14ac:dyDescent="0.2"/>
  <cols>
    <col min="1" max="1" width="8.425781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2" width="9.140625" style="259"/>
    <col min="13" max="16" width="0" style="669" hidden="1" customWidth="1"/>
    <col min="17" max="17" width="0" style="656" hidden="1" customWidth="1"/>
    <col min="18" max="22" width="0" style="259" hidden="1" customWidth="1"/>
    <col min="23" max="16384" width="9.140625" style="259"/>
  </cols>
  <sheetData>
    <row r="1" spans="1:17" s="259" customFormat="1" ht="18" customHeight="1" x14ac:dyDescent="0.2">
      <c r="A1" s="430"/>
      <c r="C1" s="431"/>
      <c r="D1" s="432"/>
      <c r="E1" s="431"/>
      <c r="F1" s="431"/>
      <c r="G1" s="431"/>
      <c r="H1" s="431"/>
      <c r="I1" s="431"/>
      <c r="J1" s="431"/>
      <c r="K1" s="431"/>
      <c r="M1" s="669"/>
      <c r="N1" s="669"/>
      <c r="O1" s="669"/>
      <c r="P1" s="669"/>
      <c r="Q1" s="656"/>
    </row>
    <row r="2" spans="1:17" s="259" customFormat="1" ht="18" customHeight="1" x14ac:dyDescent="0.25">
      <c r="A2" s="430"/>
      <c r="D2" s="433" t="s">
        <v>612</v>
      </c>
      <c r="E2" s="434"/>
      <c r="F2" s="434"/>
      <c r="G2" s="434"/>
      <c r="H2" s="434"/>
      <c r="M2" s="669"/>
      <c r="N2" s="669"/>
      <c r="O2" s="669"/>
      <c r="P2" s="669"/>
      <c r="Q2" s="656"/>
    </row>
    <row r="3" spans="1:17" s="259" customFormat="1" ht="18" customHeight="1" x14ac:dyDescent="0.2">
      <c r="A3" s="430"/>
      <c r="B3" s="421" t="s">
        <v>0</v>
      </c>
      <c r="M3" s="669"/>
      <c r="N3" s="669"/>
      <c r="O3" s="669"/>
      <c r="P3" s="669"/>
      <c r="Q3" s="656"/>
    </row>
    <row r="5" spans="1:17" s="259" customFormat="1" ht="18" customHeight="1" x14ac:dyDescent="0.2">
      <c r="A5" s="430"/>
      <c r="B5" s="435" t="s">
        <v>40</v>
      </c>
      <c r="C5" s="436" t="s">
        <v>515</v>
      </c>
      <c r="D5" s="437"/>
      <c r="E5" s="437"/>
      <c r="F5" s="437"/>
      <c r="G5" s="438"/>
      <c r="M5" s="669"/>
      <c r="N5" s="669"/>
      <c r="O5" s="669"/>
      <c r="P5" s="669"/>
      <c r="Q5" s="656"/>
    </row>
    <row r="6" spans="1:17" s="259" customFormat="1" ht="18" customHeight="1" x14ac:dyDescent="0.2">
      <c r="A6" s="430"/>
      <c r="B6" s="435" t="s">
        <v>3</v>
      </c>
      <c r="C6" s="439" t="s">
        <v>375</v>
      </c>
      <c r="D6" s="440"/>
      <c r="E6" s="440"/>
      <c r="F6" s="440"/>
      <c r="G6" s="441"/>
      <c r="M6" s="669"/>
      <c r="N6" s="669"/>
      <c r="O6" s="669"/>
      <c r="P6" s="669"/>
      <c r="Q6" s="656"/>
    </row>
    <row r="7" spans="1:17" s="259" customFormat="1" ht="18" customHeight="1" x14ac:dyDescent="0.2">
      <c r="A7" s="430"/>
      <c r="B7" s="435" t="s">
        <v>4</v>
      </c>
      <c r="C7" s="398">
        <v>1423</v>
      </c>
      <c r="D7" s="399"/>
      <c r="E7" s="399"/>
      <c r="F7" s="399"/>
      <c r="G7" s="400"/>
      <c r="M7" s="669"/>
      <c r="N7" s="669"/>
      <c r="O7" s="669"/>
      <c r="P7" s="669"/>
      <c r="Q7" s="656"/>
    </row>
    <row r="9" spans="1:17" s="259" customFormat="1" ht="18" customHeight="1" x14ac:dyDescent="0.2">
      <c r="A9" s="430"/>
      <c r="B9" s="435" t="s">
        <v>1</v>
      </c>
      <c r="C9" s="436" t="s">
        <v>740</v>
      </c>
      <c r="D9" s="437"/>
      <c r="E9" s="437"/>
      <c r="F9" s="437"/>
      <c r="G9" s="438"/>
      <c r="M9" s="669" t="s">
        <v>741</v>
      </c>
      <c r="N9" s="669"/>
      <c r="O9" s="669"/>
      <c r="P9" s="669"/>
      <c r="Q9" s="656"/>
    </row>
    <row r="10" spans="1:17" s="259" customFormat="1" ht="18" customHeight="1" x14ac:dyDescent="0.2">
      <c r="A10" s="430"/>
      <c r="B10" s="435" t="s">
        <v>2</v>
      </c>
      <c r="C10" s="445" t="s">
        <v>569</v>
      </c>
      <c r="D10" s="446"/>
      <c r="E10" s="446"/>
      <c r="F10" s="446"/>
      <c r="G10" s="447"/>
      <c r="M10" s="669"/>
      <c r="N10" s="669"/>
      <c r="O10" s="669"/>
      <c r="P10" s="669"/>
      <c r="Q10" s="656"/>
    </row>
    <row r="11" spans="1:17" s="259" customFormat="1" ht="18" customHeight="1" x14ac:dyDescent="0.25">
      <c r="A11" s="430"/>
      <c r="B11" s="435" t="s">
        <v>32</v>
      </c>
      <c r="C11" s="539" t="s">
        <v>742</v>
      </c>
      <c r="D11" s="448"/>
      <c r="E11" s="448"/>
      <c r="F11" s="448"/>
      <c r="G11" s="448"/>
      <c r="M11" s="669"/>
      <c r="N11" s="669"/>
      <c r="O11" s="669"/>
      <c r="P11" s="669"/>
      <c r="Q11" s="656"/>
    </row>
    <row r="12" spans="1:17" s="259" customFormat="1" ht="18" customHeight="1" x14ac:dyDescent="0.2">
      <c r="A12" s="430"/>
      <c r="B12" s="435"/>
      <c r="C12" s="435"/>
      <c r="D12" s="435"/>
      <c r="E12" s="435"/>
      <c r="F12" s="435"/>
      <c r="G12" s="435"/>
      <c r="M12" s="669"/>
      <c r="N12" s="669"/>
      <c r="O12" s="669"/>
      <c r="P12" s="669"/>
      <c r="Q12" s="656"/>
    </row>
    <row r="13" spans="1:17" s="259" customFormat="1" ht="24.6" customHeight="1" x14ac:dyDescent="0.2">
      <c r="A13" s="430"/>
      <c r="B13" s="450"/>
      <c r="C13" s="451"/>
      <c r="D13" s="451"/>
      <c r="E13" s="451"/>
      <c r="F13" s="451"/>
      <c r="G13" s="451"/>
      <c r="H13" s="452"/>
      <c r="I13" s="431"/>
      <c r="M13" s="669"/>
      <c r="N13" s="669"/>
      <c r="O13" s="669"/>
      <c r="P13" s="669"/>
      <c r="Q13" s="656"/>
    </row>
    <row r="14" spans="1:17" s="259" customFormat="1" ht="18" customHeight="1" x14ac:dyDescent="0.2">
      <c r="A14" s="430"/>
      <c r="B14" s="453"/>
      <c r="M14" s="669"/>
      <c r="N14" s="669"/>
      <c r="O14" s="669"/>
      <c r="P14" s="669"/>
      <c r="Q14" s="656"/>
    </row>
    <row r="15" spans="1:17" s="259" customFormat="1" ht="18" customHeight="1" x14ac:dyDescent="0.2">
      <c r="A15" s="430"/>
      <c r="B15" s="453"/>
      <c r="M15" s="669"/>
      <c r="N15" s="669"/>
      <c r="O15" s="669"/>
      <c r="P15" s="669"/>
      <c r="Q15" s="656"/>
    </row>
    <row r="16" spans="1:17" s="259" customFormat="1" ht="45.2" customHeight="1" x14ac:dyDescent="0.2">
      <c r="A16" s="432" t="s">
        <v>181</v>
      </c>
      <c r="B16" s="431"/>
      <c r="C16" s="431"/>
      <c r="D16" s="431"/>
      <c r="E16" s="431"/>
      <c r="F16" s="454" t="s">
        <v>9</v>
      </c>
      <c r="G16" s="454" t="s">
        <v>37</v>
      </c>
      <c r="H16" s="454" t="s">
        <v>29</v>
      </c>
      <c r="I16" s="454" t="s">
        <v>30</v>
      </c>
      <c r="J16" s="454" t="s">
        <v>33</v>
      </c>
      <c r="K16" s="454" t="s">
        <v>34</v>
      </c>
      <c r="M16" s="669"/>
      <c r="N16" s="669"/>
      <c r="O16" s="669"/>
      <c r="P16" s="669"/>
      <c r="Q16" s="656"/>
    </row>
    <row r="17" spans="1:17" s="259" customFormat="1" ht="18" customHeight="1" x14ac:dyDescent="0.2">
      <c r="A17" s="455" t="s">
        <v>184</v>
      </c>
      <c r="B17" s="421" t="s">
        <v>182</v>
      </c>
      <c r="M17" s="669"/>
      <c r="N17" s="669"/>
      <c r="O17" s="669"/>
      <c r="P17" s="669"/>
      <c r="Q17" s="656"/>
    </row>
    <row r="18" spans="1:17" s="259" customFormat="1" ht="18" customHeight="1" x14ac:dyDescent="0.2">
      <c r="A18" s="435" t="s">
        <v>185</v>
      </c>
      <c r="B18" s="419" t="s">
        <v>183</v>
      </c>
      <c r="F18" s="221" t="s">
        <v>73</v>
      </c>
      <c r="G18" s="221" t="s">
        <v>73</v>
      </c>
      <c r="H18" s="118">
        <v>5114311</v>
      </c>
      <c r="I18" s="133">
        <v>0</v>
      </c>
      <c r="J18" s="118">
        <v>4322602</v>
      </c>
      <c r="K18" s="118">
        <f>(H18+I18)-J18</f>
        <v>791709</v>
      </c>
      <c r="M18" s="669" t="s">
        <v>743</v>
      </c>
      <c r="N18" s="669"/>
      <c r="O18" s="669"/>
      <c r="P18" s="669"/>
      <c r="Q18" s="656"/>
    </row>
    <row r="19" spans="1:17" s="259" customFormat="1" ht="45.2" customHeight="1" x14ac:dyDescent="0.2">
      <c r="A19" s="432" t="s">
        <v>8</v>
      </c>
      <c r="B19" s="431"/>
      <c r="C19" s="431"/>
      <c r="D19" s="431"/>
      <c r="E19" s="431"/>
      <c r="F19" s="454" t="s">
        <v>9</v>
      </c>
      <c r="G19" s="454" t="s">
        <v>37</v>
      </c>
      <c r="H19" s="454" t="s">
        <v>29</v>
      </c>
      <c r="I19" s="454" t="s">
        <v>30</v>
      </c>
      <c r="J19" s="454" t="s">
        <v>33</v>
      </c>
      <c r="K19" s="454" t="s">
        <v>34</v>
      </c>
      <c r="M19" s="669"/>
      <c r="N19" s="669"/>
      <c r="O19" s="669"/>
      <c r="P19" s="669"/>
      <c r="Q19" s="656"/>
    </row>
    <row r="20" spans="1:17" s="259" customFormat="1" ht="18" customHeight="1" x14ac:dyDescent="0.2">
      <c r="A20" s="455" t="s">
        <v>74</v>
      </c>
      <c r="B20" s="421" t="s">
        <v>41</v>
      </c>
      <c r="M20" s="669"/>
      <c r="N20" s="669"/>
      <c r="O20" s="669"/>
      <c r="P20" s="669"/>
      <c r="Q20" s="656"/>
    </row>
    <row r="21" spans="1:17" s="259" customFormat="1" ht="18" customHeight="1" x14ac:dyDescent="0.2">
      <c r="A21" s="435" t="s">
        <v>75</v>
      </c>
      <c r="B21" s="419" t="s">
        <v>42</v>
      </c>
      <c r="F21" s="221">
        <f>624+501+624+527+146+101+100</f>
        <v>2623</v>
      </c>
      <c r="G21" s="221">
        <f>2135+674+607+2275</f>
        <v>5691</v>
      </c>
      <c r="H21" s="118">
        <f>31994+55950+24194+(624*64.41+36.82*624+53.02*501+527*40.74+146*40.74+101*40.74+100*21.74+14*53.02)*1.239</f>
        <v>265996.49962000002</v>
      </c>
      <c r="I21" s="133">
        <f t="shared" ref="I21:I34" si="0">H21*F$114</f>
        <v>141749.53464749802</v>
      </c>
      <c r="J21" s="118"/>
      <c r="K21" s="118">
        <f t="shared" ref="K21:K34" si="1">(H21+I21)-J21</f>
        <v>407746.03426749806</v>
      </c>
      <c r="M21" s="669" t="s">
        <v>744</v>
      </c>
      <c r="N21" s="669"/>
      <c r="O21" s="669"/>
      <c r="P21" s="669"/>
      <c r="Q21" s="656"/>
    </row>
    <row r="22" spans="1:17" s="259" customFormat="1" ht="18" customHeight="1" x14ac:dyDescent="0.2">
      <c r="A22" s="435" t="s">
        <v>76</v>
      </c>
      <c r="B22" s="259" t="s">
        <v>6</v>
      </c>
      <c r="F22" s="221"/>
      <c r="G22" s="221"/>
      <c r="H22" s="118"/>
      <c r="I22" s="133">
        <f t="shared" si="0"/>
        <v>0</v>
      </c>
      <c r="J22" s="118"/>
      <c r="K22" s="118">
        <f t="shared" si="1"/>
        <v>0</v>
      </c>
      <c r="M22" s="669"/>
      <c r="N22" s="669"/>
      <c r="O22" s="669"/>
      <c r="P22" s="669"/>
      <c r="Q22" s="656"/>
    </row>
    <row r="23" spans="1:17" s="259" customFormat="1" ht="18" customHeight="1" x14ac:dyDescent="0.2">
      <c r="A23" s="435" t="s">
        <v>77</v>
      </c>
      <c r="B23" s="259" t="s">
        <v>43</v>
      </c>
      <c r="F23" s="221"/>
      <c r="G23" s="221"/>
      <c r="H23" s="118"/>
      <c r="I23" s="133">
        <f t="shared" si="0"/>
        <v>0</v>
      </c>
      <c r="J23" s="118"/>
      <c r="K23" s="118">
        <f t="shared" si="1"/>
        <v>0</v>
      </c>
      <c r="M23" s="669"/>
      <c r="N23" s="669"/>
      <c r="O23" s="669"/>
      <c r="P23" s="669"/>
      <c r="Q23" s="656"/>
    </row>
    <row r="24" spans="1:17" s="259" customFormat="1" ht="18" customHeight="1" x14ac:dyDescent="0.2">
      <c r="A24" s="435" t="s">
        <v>78</v>
      </c>
      <c r="B24" s="259" t="s">
        <v>44</v>
      </c>
      <c r="F24" s="221"/>
      <c r="G24" s="221"/>
      <c r="H24" s="118"/>
      <c r="I24" s="133">
        <f t="shared" si="0"/>
        <v>0</v>
      </c>
      <c r="J24" s="118"/>
      <c r="K24" s="118">
        <f t="shared" si="1"/>
        <v>0</v>
      </c>
      <c r="M24" s="669"/>
      <c r="N24" s="669"/>
      <c r="O24" s="669"/>
      <c r="P24" s="669"/>
      <c r="Q24" s="656"/>
    </row>
    <row r="25" spans="1:17" s="259" customFormat="1" ht="18" customHeight="1" x14ac:dyDescent="0.2">
      <c r="A25" s="435" t="s">
        <v>79</v>
      </c>
      <c r="B25" s="259" t="s">
        <v>5</v>
      </c>
      <c r="F25" s="221">
        <v>4160</v>
      </c>
      <c r="G25" s="221">
        <f>329+875+115</f>
        <v>1319</v>
      </c>
      <c r="H25" s="118">
        <f>+(F25/2*18.86+F25/2*15.25)*1.239</f>
        <v>87905.56319999999</v>
      </c>
      <c r="I25" s="133">
        <f t="shared" si="0"/>
        <v>46844.874629279999</v>
      </c>
      <c r="J25" s="118"/>
      <c r="K25" s="118">
        <f t="shared" si="1"/>
        <v>134750.43782927998</v>
      </c>
      <c r="M25" s="669" t="s">
        <v>745</v>
      </c>
      <c r="N25" s="669"/>
      <c r="O25" s="669"/>
      <c r="P25" s="669"/>
      <c r="Q25" s="656"/>
    </row>
    <row r="26" spans="1:17" s="259" customFormat="1" ht="18" customHeight="1" x14ac:dyDescent="0.2">
      <c r="A26" s="435" t="s">
        <v>80</v>
      </c>
      <c r="B26" s="259" t="s">
        <v>45</v>
      </c>
      <c r="F26" s="221"/>
      <c r="G26" s="221"/>
      <c r="H26" s="118"/>
      <c r="I26" s="133">
        <f t="shared" si="0"/>
        <v>0</v>
      </c>
      <c r="J26" s="118"/>
      <c r="K26" s="118">
        <f t="shared" si="1"/>
        <v>0</v>
      </c>
      <c r="M26" s="669"/>
      <c r="N26" s="669"/>
      <c r="O26" s="669"/>
      <c r="P26" s="669"/>
      <c r="Q26" s="656"/>
    </row>
    <row r="27" spans="1:17" s="259" customFormat="1" ht="18" customHeight="1" x14ac:dyDescent="0.2">
      <c r="A27" s="435" t="s">
        <v>81</v>
      </c>
      <c r="B27" s="259" t="s">
        <v>536</v>
      </c>
      <c r="F27" s="221"/>
      <c r="G27" s="221"/>
      <c r="H27" s="118"/>
      <c r="I27" s="133">
        <f t="shared" si="0"/>
        <v>0</v>
      </c>
      <c r="J27" s="118"/>
      <c r="K27" s="118">
        <f t="shared" si="1"/>
        <v>0</v>
      </c>
      <c r="M27" s="669"/>
      <c r="N27" s="669"/>
      <c r="O27" s="669"/>
      <c r="P27" s="669"/>
      <c r="Q27" s="656"/>
    </row>
    <row r="28" spans="1:17" s="259" customFormat="1" ht="18" customHeight="1" x14ac:dyDescent="0.2">
      <c r="A28" s="435" t="s">
        <v>82</v>
      </c>
      <c r="B28" s="259" t="s">
        <v>47</v>
      </c>
      <c r="F28" s="221"/>
      <c r="G28" s="221"/>
      <c r="H28" s="118"/>
      <c r="I28" s="133">
        <f t="shared" si="0"/>
        <v>0</v>
      </c>
      <c r="J28" s="118"/>
      <c r="K28" s="118">
        <f t="shared" si="1"/>
        <v>0</v>
      </c>
      <c r="M28" s="669"/>
      <c r="N28" s="669"/>
      <c r="O28" s="669"/>
      <c r="P28" s="669"/>
      <c r="Q28" s="656"/>
    </row>
    <row r="29" spans="1:17" s="259" customFormat="1" ht="18" customHeight="1" x14ac:dyDescent="0.2">
      <c r="A29" s="435" t="s">
        <v>83</v>
      </c>
      <c r="B29" s="259" t="s">
        <v>48</v>
      </c>
      <c r="F29" s="221">
        <v>4160</v>
      </c>
      <c r="G29" s="221">
        <f>20*250</f>
        <v>5000</v>
      </c>
      <c r="H29" s="118">
        <f>695773+782839.01</f>
        <v>1478612.01</v>
      </c>
      <c r="I29" s="133">
        <f t="shared" si="0"/>
        <v>787952.34012900002</v>
      </c>
      <c r="J29" s="118"/>
      <c r="K29" s="118">
        <f t="shared" si="1"/>
        <v>2266564.3501289999</v>
      </c>
      <c r="L29" s="855"/>
      <c r="M29" s="856" t="s">
        <v>746</v>
      </c>
      <c r="N29" s="669"/>
      <c r="O29" s="669"/>
      <c r="P29" s="669"/>
      <c r="Q29" s="656"/>
    </row>
    <row r="30" spans="1:17" s="259" customFormat="1" ht="18" customHeight="1" x14ac:dyDescent="0.2">
      <c r="A30" s="435" t="s">
        <v>84</v>
      </c>
      <c r="B30" s="456"/>
      <c r="C30" s="457"/>
      <c r="D30" s="458"/>
      <c r="F30" s="221"/>
      <c r="G30" s="221"/>
      <c r="H30" s="118"/>
      <c r="I30" s="133">
        <f t="shared" si="0"/>
        <v>0</v>
      </c>
      <c r="J30" s="118"/>
      <c r="K30" s="118">
        <f t="shared" si="1"/>
        <v>0</v>
      </c>
      <c r="L30" s="855"/>
      <c r="M30" s="857" t="s">
        <v>747</v>
      </c>
      <c r="N30" s="669"/>
      <c r="O30" s="669"/>
      <c r="P30" s="669"/>
      <c r="Q30" s="656"/>
    </row>
    <row r="31" spans="1:17" s="259" customFormat="1" ht="18" customHeight="1" x14ac:dyDescent="0.2">
      <c r="A31" s="435" t="s">
        <v>133</v>
      </c>
      <c r="B31" s="456"/>
      <c r="C31" s="457"/>
      <c r="D31" s="458"/>
      <c r="F31" s="221"/>
      <c r="G31" s="221"/>
      <c r="H31" s="118"/>
      <c r="I31" s="133">
        <f t="shared" si="0"/>
        <v>0</v>
      </c>
      <c r="J31" s="118"/>
      <c r="K31" s="118">
        <f t="shared" si="1"/>
        <v>0</v>
      </c>
      <c r="M31" s="669"/>
      <c r="N31" s="669"/>
      <c r="O31" s="669"/>
      <c r="P31" s="669"/>
      <c r="Q31" s="656"/>
    </row>
    <row r="32" spans="1:17" s="259" customFormat="1" ht="18" customHeight="1" x14ac:dyDescent="0.2">
      <c r="A32" s="435" t="s">
        <v>134</v>
      </c>
      <c r="B32" s="459"/>
      <c r="C32" s="460"/>
      <c r="D32" s="461"/>
      <c r="F32" s="221"/>
      <c r="G32" s="255" t="s">
        <v>85</v>
      </c>
      <c r="H32" s="118"/>
      <c r="I32" s="133">
        <f t="shared" si="0"/>
        <v>0</v>
      </c>
      <c r="J32" s="118"/>
      <c r="K32" s="118">
        <f t="shared" si="1"/>
        <v>0</v>
      </c>
      <c r="M32" s="669"/>
      <c r="N32" s="669"/>
      <c r="O32" s="669"/>
      <c r="P32" s="669"/>
      <c r="Q32" s="656"/>
    </row>
    <row r="33" spans="1:17" s="259" customFormat="1" ht="18" customHeight="1" x14ac:dyDescent="0.2">
      <c r="A33" s="435" t="s">
        <v>135</v>
      </c>
      <c r="B33" s="459"/>
      <c r="C33" s="460"/>
      <c r="D33" s="461"/>
      <c r="F33" s="221"/>
      <c r="G33" s="255" t="s">
        <v>85</v>
      </c>
      <c r="H33" s="118"/>
      <c r="I33" s="133">
        <f t="shared" si="0"/>
        <v>0</v>
      </c>
      <c r="J33" s="118"/>
      <c r="K33" s="118">
        <f t="shared" si="1"/>
        <v>0</v>
      </c>
      <c r="M33" s="669"/>
      <c r="N33" s="669"/>
      <c r="O33" s="669"/>
      <c r="P33" s="669"/>
      <c r="Q33" s="656"/>
    </row>
    <row r="34" spans="1:17" s="259" customFormat="1" ht="18" customHeight="1" x14ac:dyDescent="0.2">
      <c r="A34" s="435" t="s">
        <v>136</v>
      </c>
      <c r="B34" s="456"/>
      <c r="C34" s="457"/>
      <c r="D34" s="458"/>
      <c r="F34" s="221"/>
      <c r="G34" s="255" t="s">
        <v>85</v>
      </c>
      <c r="H34" s="118"/>
      <c r="I34" s="133">
        <f t="shared" si="0"/>
        <v>0</v>
      </c>
      <c r="J34" s="118"/>
      <c r="K34" s="118">
        <f t="shared" si="1"/>
        <v>0</v>
      </c>
      <c r="M34" s="669"/>
      <c r="N34" s="669"/>
      <c r="O34" s="669"/>
      <c r="P34" s="669"/>
      <c r="Q34" s="656"/>
    </row>
    <row r="35" spans="1:17" s="259" customFormat="1" ht="18" customHeight="1" x14ac:dyDescent="0.2">
      <c r="A35" s="430"/>
      <c r="K35" s="406"/>
      <c r="M35" s="669"/>
      <c r="N35" s="669"/>
      <c r="O35" s="669"/>
      <c r="P35" s="669"/>
      <c r="Q35" s="656"/>
    </row>
    <row r="36" spans="1:17" s="259" customFormat="1" ht="18" customHeight="1" x14ac:dyDescent="0.2">
      <c r="A36" s="455" t="s">
        <v>137</v>
      </c>
      <c r="B36" s="421" t="s">
        <v>138</v>
      </c>
      <c r="E36" s="421" t="s">
        <v>7</v>
      </c>
      <c r="F36" s="221">
        <f t="shared" ref="F36:K36" si="2">SUM(F21:F34)</f>
        <v>10943</v>
      </c>
      <c r="G36" s="221">
        <f t="shared" si="2"/>
        <v>12010</v>
      </c>
      <c r="H36" s="221">
        <f t="shared" si="2"/>
        <v>1832514.0728199999</v>
      </c>
      <c r="I36" s="118">
        <f t="shared" si="2"/>
        <v>976546.74940577801</v>
      </c>
      <c r="J36" s="118">
        <f t="shared" si="2"/>
        <v>0</v>
      </c>
      <c r="K36" s="118">
        <f t="shared" si="2"/>
        <v>2809060.8222257779</v>
      </c>
      <c r="M36" s="669"/>
      <c r="N36" s="669"/>
      <c r="O36" s="669"/>
      <c r="P36" s="669"/>
      <c r="Q36" s="656"/>
    </row>
    <row r="37" spans="1:17" s="259" customFormat="1" ht="18" customHeight="1" thickBot="1" x14ac:dyDescent="0.25">
      <c r="A37" s="430"/>
      <c r="B37" s="421"/>
      <c r="F37" s="462"/>
      <c r="G37" s="462"/>
      <c r="H37" s="463"/>
      <c r="I37" s="463"/>
      <c r="J37" s="463"/>
      <c r="K37" s="464"/>
      <c r="M37" s="669"/>
      <c r="N37" s="669"/>
      <c r="O37" s="669"/>
      <c r="P37" s="669"/>
      <c r="Q37" s="656"/>
    </row>
    <row r="38" spans="1:17" s="259" customFormat="1" ht="42.75" customHeight="1" x14ac:dyDescent="0.2">
      <c r="A38" s="430"/>
      <c r="F38" s="454" t="s">
        <v>9</v>
      </c>
      <c r="G38" s="454" t="s">
        <v>37</v>
      </c>
      <c r="H38" s="454" t="s">
        <v>29</v>
      </c>
      <c r="I38" s="454" t="s">
        <v>30</v>
      </c>
      <c r="J38" s="454" t="s">
        <v>33</v>
      </c>
      <c r="K38" s="454" t="s">
        <v>34</v>
      </c>
      <c r="M38" s="669"/>
      <c r="N38" s="669"/>
      <c r="O38" s="669"/>
      <c r="P38" s="669"/>
      <c r="Q38" s="656"/>
    </row>
    <row r="39" spans="1:17" s="259" customFormat="1" ht="18.75" customHeight="1" x14ac:dyDescent="0.2">
      <c r="A39" s="455" t="s">
        <v>86</v>
      </c>
      <c r="B39" s="421" t="s">
        <v>49</v>
      </c>
      <c r="M39" s="669"/>
      <c r="N39" s="669"/>
      <c r="O39" s="669"/>
      <c r="P39" s="669"/>
      <c r="Q39" s="656"/>
    </row>
    <row r="40" spans="1:17" s="259" customFormat="1" ht="18" customHeight="1" x14ac:dyDescent="0.2">
      <c r="A40" s="435" t="s">
        <v>87</v>
      </c>
      <c r="B40" s="259" t="s">
        <v>31</v>
      </c>
      <c r="F40" s="221">
        <f>36*2080+396*52</f>
        <v>95472</v>
      </c>
      <c r="G40" s="221"/>
      <c r="H40" s="118">
        <v>5279129</v>
      </c>
      <c r="I40" s="133">
        <v>0</v>
      </c>
      <c r="J40" s="118"/>
      <c r="K40" s="118">
        <f>(H40+I40)-J40</f>
        <v>5279129</v>
      </c>
      <c r="M40" s="857" t="s">
        <v>748</v>
      </c>
      <c r="N40" s="669"/>
      <c r="O40" s="669"/>
      <c r="P40" s="669"/>
      <c r="Q40" s="656"/>
    </row>
    <row r="41" spans="1:17" s="259" customFormat="1" ht="18" customHeight="1" x14ac:dyDescent="0.2">
      <c r="A41" s="435" t="s">
        <v>88</v>
      </c>
      <c r="B41" s="465" t="s">
        <v>50</v>
      </c>
      <c r="C41" s="466"/>
      <c r="F41" s="221">
        <v>3624</v>
      </c>
      <c r="G41" s="221"/>
      <c r="H41" s="118">
        <f>+F41*40.74</f>
        <v>147641.76</v>
      </c>
      <c r="I41" s="133">
        <v>0</v>
      </c>
      <c r="J41" s="118"/>
      <c r="K41" s="118">
        <f t="shared" ref="K41:K47" si="3">(H41+I41)-J41</f>
        <v>147641.76</v>
      </c>
      <c r="M41" s="669" t="s">
        <v>749</v>
      </c>
      <c r="N41" s="669"/>
      <c r="O41" s="669"/>
      <c r="P41" s="669"/>
      <c r="Q41" s="656"/>
    </row>
    <row r="42" spans="1:17" s="259" customFormat="1" ht="18" customHeight="1" x14ac:dyDescent="0.2">
      <c r="A42" s="435" t="s">
        <v>89</v>
      </c>
      <c r="B42" s="419" t="s">
        <v>11</v>
      </c>
      <c r="F42" s="221"/>
      <c r="G42" s="221"/>
      <c r="H42" s="118"/>
      <c r="I42" s="133">
        <v>0</v>
      </c>
      <c r="J42" s="118"/>
      <c r="K42" s="118">
        <f t="shared" si="3"/>
        <v>0</v>
      </c>
      <c r="M42" s="669"/>
      <c r="N42" s="669"/>
      <c r="O42" s="669"/>
      <c r="P42" s="669"/>
      <c r="Q42" s="656"/>
    </row>
    <row r="43" spans="1:17" s="259" customFormat="1" ht="18" customHeight="1" x14ac:dyDescent="0.2">
      <c r="A43" s="435" t="s">
        <v>90</v>
      </c>
      <c r="B43" s="467" t="s">
        <v>10</v>
      </c>
      <c r="C43" s="468"/>
      <c r="D43" s="468"/>
      <c r="F43" s="221"/>
      <c r="G43" s="221"/>
      <c r="H43" s="118"/>
      <c r="I43" s="133">
        <v>0</v>
      </c>
      <c r="J43" s="118"/>
      <c r="K43" s="118">
        <f t="shared" si="3"/>
        <v>0</v>
      </c>
      <c r="M43" s="669"/>
      <c r="N43" s="669"/>
      <c r="O43" s="669"/>
      <c r="P43" s="669"/>
      <c r="Q43" s="656"/>
    </row>
    <row r="44" spans="1:17" s="259" customFormat="1" ht="18" customHeight="1" x14ac:dyDescent="0.2">
      <c r="A44" s="435" t="s">
        <v>91</v>
      </c>
      <c r="B44" s="456"/>
      <c r="C44" s="457"/>
      <c r="D44" s="458"/>
      <c r="F44" s="407"/>
      <c r="G44" s="407"/>
      <c r="H44" s="407"/>
      <c r="I44" s="408">
        <v>0</v>
      </c>
      <c r="J44" s="407"/>
      <c r="K44" s="134">
        <f t="shared" si="3"/>
        <v>0</v>
      </c>
      <c r="M44" s="669"/>
      <c r="N44" s="669"/>
      <c r="O44" s="669"/>
      <c r="P44" s="669"/>
      <c r="Q44" s="656"/>
    </row>
    <row r="45" spans="1:17" s="259" customFormat="1" ht="18" customHeight="1" x14ac:dyDescent="0.2">
      <c r="A45" s="435" t="s">
        <v>139</v>
      </c>
      <c r="B45" s="456"/>
      <c r="C45" s="457"/>
      <c r="D45" s="458"/>
      <c r="F45" s="221"/>
      <c r="G45" s="221"/>
      <c r="H45" s="118"/>
      <c r="I45" s="133">
        <v>0</v>
      </c>
      <c r="J45" s="118"/>
      <c r="K45" s="118">
        <f t="shared" si="3"/>
        <v>0</v>
      </c>
      <c r="M45" s="669"/>
      <c r="N45" s="669"/>
      <c r="O45" s="669"/>
      <c r="P45" s="669"/>
      <c r="Q45" s="656"/>
    </row>
    <row r="46" spans="1:17" s="259" customFormat="1" ht="18" customHeight="1" x14ac:dyDescent="0.2">
      <c r="A46" s="435" t="s">
        <v>140</v>
      </c>
      <c r="B46" s="456"/>
      <c r="C46" s="457"/>
      <c r="D46" s="458"/>
      <c r="F46" s="221"/>
      <c r="G46" s="221"/>
      <c r="H46" s="118"/>
      <c r="I46" s="133">
        <v>0</v>
      </c>
      <c r="J46" s="118"/>
      <c r="K46" s="118">
        <f t="shared" si="3"/>
        <v>0</v>
      </c>
      <c r="M46" s="669"/>
      <c r="N46" s="669"/>
      <c r="O46" s="669"/>
      <c r="P46" s="669"/>
      <c r="Q46" s="656"/>
    </row>
    <row r="47" spans="1:17" s="259" customFormat="1" ht="18" customHeight="1" x14ac:dyDescent="0.2">
      <c r="A47" s="435" t="s">
        <v>141</v>
      </c>
      <c r="B47" s="456"/>
      <c r="C47" s="457"/>
      <c r="D47" s="458"/>
      <c r="F47" s="221"/>
      <c r="G47" s="221"/>
      <c r="H47" s="118"/>
      <c r="I47" s="133">
        <v>0</v>
      </c>
      <c r="J47" s="118"/>
      <c r="K47" s="118">
        <f t="shared" si="3"/>
        <v>0</v>
      </c>
      <c r="M47" s="669"/>
      <c r="N47" s="669"/>
      <c r="O47" s="669"/>
      <c r="P47" s="669"/>
      <c r="Q47" s="656"/>
    </row>
    <row r="49" spans="1:17" s="259" customFormat="1" ht="18" customHeight="1" x14ac:dyDescent="0.2">
      <c r="A49" s="455" t="s">
        <v>142</v>
      </c>
      <c r="B49" s="421" t="s">
        <v>143</v>
      </c>
      <c r="E49" s="421" t="s">
        <v>7</v>
      </c>
      <c r="F49" s="409">
        <f t="shared" ref="F49:K49" si="4">SUM(F40:F47)</f>
        <v>99096</v>
      </c>
      <c r="G49" s="409">
        <f t="shared" si="4"/>
        <v>0</v>
      </c>
      <c r="H49" s="118">
        <f t="shared" si="4"/>
        <v>5426770.7599999998</v>
      </c>
      <c r="I49" s="118">
        <f t="shared" si="4"/>
        <v>0</v>
      </c>
      <c r="J49" s="118">
        <f t="shared" si="4"/>
        <v>0</v>
      </c>
      <c r="K49" s="118">
        <f t="shared" si="4"/>
        <v>5426770.7599999998</v>
      </c>
      <c r="M49" s="669"/>
      <c r="N49" s="669"/>
      <c r="O49" s="669"/>
      <c r="P49" s="669"/>
      <c r="Q49" s="656"/>
    </row>
    <row r="50" spans="1:17" s="259" customFormat="1" ht="18" customHeight="1" thickBot="1" x14ac:dyDescent="0.25">
      <c r="A50" s="430"/>
      <c r="G50" s="469"/>
      <c r="H50" s="469"/>
      <c r="I50" s="469"/>
      <c r="J50" s="469"/>
      <c r="K50" s="469"/>
      <c r="M50" s="669"/>
      <c r="N50" s="669"/>
      <c r="O50" s="669"/>
      <c r="P50" s="669"/>
      <c r="Q50" s="656"/>
    </row>
    <row r="51" spans="1:17" s="259" customFormat="1" ht="42.75" customHeight="1" x14ac:dyDescent="0.2">
      <c r="A51" s="430"/>
      <c r="F51" s="454" t="s">
        <v>9</v>
      </c>
      <c r="G51" s="454" t="s">
        <v>37</v>
      </c>
      <c r="H51" s="454" t="s">
        <v>29</v>
      </c>
      <c r="I51" s="454" t="s">
        <v>30</v>
      </c>
      <c r="J51" s="454" t="s">
        <v>33</v>
      </c>
      <c r="K51" s="454" t="s">
        <v>34</v>
      </c>
      <c r="M51" s="669"/>
      <c r="N51" s="669"/>
      <c r="O51" s="669"/>
      <c r="P51" s="669"/>
      <c r="Q51" s="656"/>
    </row>
    <row r="52" spans="1:17" s="259" customFormat="1" ht="18" customHeight="1" x14ac:dyDescent="0.2">
      <c r="A52" s="455" t="s">
        <v>92</v>
      </c>
      <c r="B52" s="470" t="s">
        <v>38</v>
      </c>
      <c r="C52" s="471"/>
      <c r="M52" s="669"/>
      <c r="N52" s="669"/>
      <c r="O52" s="669"/>
      <c r="P52" s="669"/>
      <c r="Q52" s="656"/>
    </row>
    <row r="53" spans="1:17" s="259" customFormat="1" ht="18" customHeight="1" x14ac:dyDescent="0.2">
      <c r="A53" s="435" t="s">
        <v>51</v>
      </c>
      <c r="B53" s="491"/>
      <c r="C53" s="411"/>
      <c r="D53" s="412"/>
      <c r="F53" s="221"/>
      <c r="G53" s="221"/>
      <c r="H53" s="118"/>
      <c r="I53" s="133">
        <v>0</v>
      </c>
      <c r="J53" s="118"/>
      <c r="K53" s="118">
        <f t="shared" ref="K53:K62" si="5">(H53+I53)-J53</f>
        <v>0</v>
      </c>
      <c r="M53" s="669"/>
      <c r="N53" s="669"/>
      <c r="O53" s="669"/>
      <c r="P53" s="669"/>
      <c r="Q53" s="656"/>
    </row>
    <row r="54" spans="1:17" s="259" customFormat="1" ht="18" customHeight="1" x14ac:dyDescent="0.2">
      <c r="A54" s="435" t="s">
        <v>93</v>
      </c>
      <c r="B54" s="420" t="s">
        <v>374</v>
      </c>
      <c r="C54" s="414"/>
      <c r="D54" s="415"/>
      <c r="F54" s="221"/>
      <c r="G54" s="221"/>
      <c r="H54" s="118">
        <f>25608901-1122137</f>
        <v>24486764</v>
      </c>
      <c r="I54" s="133">
        <v>0</v>
      </c>
      <c r="J54" s="118"/>
      <c r="K54" s="118">
        <f t="shared" si="5"/>
        <v>24486764</v>
      </c>
      <c r="M54" s="669" t="s">
        <v>750</v>
      </c>
      <c r="N54" s="669"/>
      <c r="O54" s="669"/>
      <c r="P54" s="669"/>
      <c r="Q54" s="656"/>
    </row>
    <row r="55" spans="1:17" s="259" customFormat="1" ht="18" customHeight="1" x14ac:dyDescent="0.2">
      <c r="A55" s="435" t="s">
        <v>94</v>
      </c>
      <c r="B55" s="418"/>
      <c r="C55" s="417"/>
      <c r="D55" s="412"/>
      <c r="F55" s="221"/>
      <c r="G55" s="221"/>
      <c r="H55" s="118"/>
      <c r="I55" s="133">
        <v>0</v>
      </c>
      <c r="J55" s="118"/>
      <c r="K55" s="118">
        <f t="shared" si="5"/>
        <v>0</v>
      </c>
      <c r="M55" s="669"/>
      <c r="N55" s="669"/>
      <c r="O55" s="669"/>
      <c r="P55" s="669"/>
      <c r="Q55" s="656"/>
    </row>
    <row r="56" spans="1:17" s="259" customFormat="1" ht="18" customHeight="1" x14ac:dyDescent="0.2">
      <c r="A56" s="435" t="s">
        <v>95</v>
      </c>
      <c r="B56" s="418"/>
      <c r="C56" s="417"/>
      <c r="D56" s="412"/>
      <c r="F56" s="221"/>
      <c r="G56" s="221"/>
      <c r="H56" s="118"/>
      <c r="I56" s="133">
        <v>0</v>
      </c>
      <c r="J56" s="118"/>
      <c r="K56" s="118">
        <f t="shared" si="5"/>
        <v>0</v>
      </c>
      <c r="M56" s="669"/>
      <c r="N56" s="669"/>
      <c r="O56" s="669"/>
      <c r="P56" s="669"/>
      <c r="Q56" s="656"/>
    </row>
    <row r="57" spans="1:17" s="259" customFormat="1" ht="18" customHeight="1" x14ac:dyDescent="0.2">
      <c r="A57" s="435" t="s">
        <v>96</v>
      </c>
      <c r="B57" s="418"/>
      <c r="C57" s="417"/>
      <c r="D57" s="412"/>
      <c r="F57" s="221"/>
      <c r="G57" s="221"/>
      <c r="H57" s="118"/>
      <c r="I57" s="133">
        <v>0</v>
      </c>
      <c r="J57" s="118"/>
      <c r="K57" s="118">
        <f t="shared" si="5"/>
        <v>0</v>
      </c>
      <c r="M57" s="669"/>
      <c r="N57" s="669"/>
      <c r="O57" s="669"/>
      <c r="P57" s="669"/>
      <c r="Q57" s="656"/>
    </row>
    <row r="58" spans="1:17" s="259" customFormat="1" ht="18" customHeight="1" x14ac:dyDescent="0.2">
      <c r="A58" s="435" t="s">
        <v>97</v>
      </c>
      <c r="B58" s="420"/>
      <c r="C58" s="414"/>
      <c r="D58" s="415"/>
      <c r="F58" s="221"/>
      <c r="G58" s="221"/>
      <c r="H58" s="118"/>
      <c r="I58" s="133">
        <v>0</v>
      </c>
      <c r="J58" s="118"/>
      <c r="K58" s="118">
        <f t="shared" si="5"/>
        <v>0</v>
      </c>
      <c r="M58" s="669"/>
      <c r="N58" s="669"/>
      <c r="O58" s="669"/>
      <c r="P58" s="669"/>
      <c r="Q58" s="656"/>
    </row>
    <row r="59" spans="1:17" s="259" customFormat="1" ht="18" customHeight="1" x14ac:dyDescent="0.2">
      <c r="A59" s="435" t="s">
        <v>98</v>
      </c>
      <c r="B59" s="418"/>
      <c r="C59" s="417"/>
      <c r="D59" s="412"/>
      <c r="F59" s="221"/>
      <c r="G59" s="221"/>
      <c r="H59" s="118"/>
      <c r="I59" s="133">
        <v>0</v>
      </c>
      <c r="J59" s="118"/>
      <c r="K59" s="118">
        <f t="shared" si="5"/>
        <v>0</v>
      </c>
      <c r="M59" s="669"/>
      <c r="N59" s="669"/>
      <c r="O59" s="669"/>
      <c r="P59" s="669"/>
      <c r="Q59" s="656"/>
    </row>
    <row r="60" spans="1:17" s="259" customFormat="1" ht="18" customHeight="1" x14ac:dyDescent="0.2">
      <c r="A60" s="435" t="s">
        <v>99</v>
      </c>
      <c r="B60" s="420"/>
      <c r="C60" s="414"/>
      <c r="D60" s="415"/>
      <c r="F60" s="221"/>
      <c r="G60" s="221"/>
      <c r="H60" s="118"/>
      <c r="I60" s="133">
        <v>0</v>
      </c>
      <c r="J60" s="118"/>
      <c r="K60" s="118">
        <f t="shared" si="5"/>
        <v>0</v>
      </c>
      <c r="M60" s="669"/>
      <c r="N60" s="669"/>
      <c r="O60" s="669"/>
      <c r="P60" s="669"/>
      <c r="Q60" s="656"/>
    </row>
    <row r="61" spans="1:17" s="259" customFormat="1" ht="18" customHeight="1" x14ac:dyDescent="0.2">
      <c r="A61" s="435" t="s">
        <v>100</v>
      </c>
      <c r="B61" s="420"/>
      <c r="C61" s="414"/>
      <c r="D61" s="415"/>
      <c r="F61" s="221"/>
      <c r="G61" s="221"/>
      <c r="H61" s="118"/>
      <c r="I61" s="133">
        <v>0</v>
      </c>
      <c r="J61" s="118"/>
      <c r="K61" s="118">
        <f t="shared" si="5"/>
        <v>0</v>
      </c>
      <c r="M61" s="669"/>
      <c r="N61" s="669"/>
      <c r="O61" s="669"/>
      <c r="P61" s="669"/>
      <c r="Q61" s="656"/>
    </row>
    <row r="62" spans="1:17" s="259" customFormat="1" ht="18" customHeight="1" x14ac:dyDescent="0.2">
      <c r="A62" s="435" t="s">
        <v>101</v>
      </c>
      <c r="B62" s="418"/>
      <c r="C62" s="417"/>
      <c r="D62" s="412"/>
      <c r="F62" s="221"/>
      <c r="G62" s="221"/>
      <c r="H62" s="118"/>
      <c r="I62" s="133">
        <v>0</v>
      </c>
      <c r="J62" s="118"/>
      <c r="K62" s="118">
        <f t="shared" si="5"/>
        <v>0</v>
      </c>
      <c r="M62" s="669"/>
      <c r="N62" s="669"/>
      <c r="O62" s="669"/>
      <c r="P62" s="669"/>
      <c r="Q62" s="656"/>
    </row>
    <row r="63" spans="1:17" s="259" customFormat="1" ht="18" customHeight="1" x14ac:dyDescent="0.2">
      <c r="A63" s="435"/>
      <c r="I63" s="129"/>
      <c r="M63" s="669"/>
      <c r="N63" s="669"/>
      <c r="O63" s="669"/>
      <c r="P63" s="669"/>
      <c r="Q63" s="656"/>
    </row>
    <row r="64" spans="1:17" s="259" customFormat="1" ht="18" customHeight="1" x14ac:dyDescent="0.2">
      <c r="A64" s="435" t="s">
        <v>144</v>
      </c>
      <c r="B64" s="421" t="s">
        <v>145</v>
      </c>
      <c r="E64" s="421" t="s">
        <v>7</v>
      </c>
      <c r="F64" s="221">
        <f t="shared" ref="F64:K64" si="6">SUM(F53:F62)</f>
        <v>0</v>
      </c>
      <c r="G64" s="221">
        <f t="shared" si="6"/>
        <v>0</v>
      </c>
      <c r="H64" s="118">
        <f t="shared" si="6"/>
        <v>24486764</v>
      </c>
      <c r="I64" s="118">
        <f t="shared" si="6"/>
        <v>0</v>
      </c>
      <c r="J64" s="118">
        <f t="shared" si="6"/>
        <v>0</v>
      </c>
      <c r="K64" s="118">
        <f t="shared" si="6"/>
        <v>24486764</v>
      </c>
      <c r="M64" s="669"/>
      <c r="N64" s="669"/>
      <c r="O64" s="669"/>
      <c r="P64" s="669"/>
      <c r="Q64" s="656"/>
    </row>
    <row r="65" spans="1:17" s="259" customFormat="1" ht="18" customHeight="1" x14ac:dyDescent="0.2">
      <c r="A65" s="430"/>
      <c r="F65" s="478"/>
      <c r="G65" s="478"/>
      <c r="H65" s="478"/>
      <c r="I65" s="478"/>
      <c r="J65" s="478"/>
      <c r="K65" s="478"/>
      <c r="M65" s="669"/>
      <c r="N65" s="669"/>
      <c r="O65" s="669"/>
      <c r="P65" s="669"/>
      <c r="Q65" s="656"/>
    </row>
    <row r="66" spans="1:17" s="259" customFormat="1" ht="42.75" customHeight="1" x14ac:dyDescent="0.2">
      <c r="A66" s="430"/>
      <c r="F66" s="479" t="s">
        <v>9</v>
      </c>
      <c r="G66" s="479" t="s">
        <v>37</v>
      </c>
      <c r="H66" s="479" t="s">
        <v>29</v>
      </c>
      <c r="I66" s="479" t="s">
        <v>30</v>
      </c>
      <c r="J66" s="479" t="s">
        <v>33</v>
      </c>
      <c r="K66" s="479" t="s">
        <v>34</v>
      </c>
      <c r="M66" s="669"/>
      <c r="N66" s="669"/>
      <c r="O66" s="669"/>
      <c r="P66" s="669"/>
      <c r="Q66" s="656"/>
    </row>
    <row r="67" spans="1:17" s="259" customFormat="1" ht="18" customHeight="1" x14ac:dyDescent="0.2">
      <c r="A67" s="455" t="s">
        <v>102</v>
      </c>
      <c r="B67" s="421" t="s">
        <v>12</v>
      </c>
      <c r="F67" s="480"/>
      <c r="G67" s="480"/>
      <c r="H67" s="480"/>
      <c r="I67" s="137"/>
      <c r="J67" s="480"/>
      <c r="K67" s="137"/>
      <c r="M67" s="669"/>
      <c r="N67" s="669"/>
      <c r="O67" s="669"/>
      <c r="P67" s="669"/>
      <c r="Q67" s="656"/>
    </row>
    <row r="68" spans="1:17" s="259" customFormat="1" ht="18" customHeight="1" x14ac:dyDescent="0.2">
      <c r="A68" s="435" t="s">
        <v>103</v>
      </c>
      <c r="B68" s="259" t="s">
        <v>52</v>
      </c>
      <c r="F68" s="122"/>
      <c r="G68" s="122"/>
      <c r="H68" s="122"/>
      <c r="I68" s="133">
        <v>0</v>
      </c>
      <c r="J68" s="122"/>
      <c r="K68" s="118">
        <f>(H68+I68)-J68</f>
        <v>0</v>
      </c>
      <c r="M68" s="669"/>
      <c r="N68" s="669"/>
      <c r="O68" s="669"/>
      <c r="P68" s="669"/>
      <c r="Q68" s="656"/>
    </row>
    <row r="69" spans="1:17" s="259" customFormat="1" ht="18" customHeight="1" x14ac:dyDescent="0.2">
      <c r="A69" s="435" t="s">
        <v>104</v>
      </c>
      <c r="B69" s="419" t="s">
        <v>53</v>
      </c>
      <c r="F69" s="122"/>
      <c r="G69" s="122"/>
      <c r="H69" s="122"/>
      <c r="I69" s="133">
        <v>0</v>
      </c>
      <c r="J69" s="122"/>
      <c r="K69" s="118">
        <f>(H69+I69)-J69</f>
        <v>0</v>
      </c>
      <c r="M69" s="669"/>
      <c r="N69" s="669"/>
      <c r="O69" s="669"/>
      <c r="P69" s="669"/>
      <c r="Q69" s="656"/>
    </row>
    <row r="70" spans="1:17" s="259" customFormat="1" ht="18" customHeight="1" x14ac:dyDescent="0.2">
      <c r="A70" s="435" t="s">
        <v>178</v>
      </c>
      <c r="B70" s="420"/>
      <c r="C70" s="414"/>
      <c r="D70" s="415"/>
      <c r="E70" s="421"/>
      <c r="F70" s="422"/>
      <c r="G70" s="422"/>
      <c r="H70" s="423"/>
      <c r="I70" s="133">
        <v>0</v>
      </c>
      <c r="J70" s="423"/>
      <c r="K70" s="118">
        <f>(H70+I70)-J70</f>
        <v>0</v>
      </c>
      <c r="M70" s="669"/>
      <c r="N70" s="669"/>
      <c r="O70" s="669"/>
      <c r="P70" s="669"/>
      <c r="Q70" s="656"/>
    </row>
    <row r="71" spans="1:17" s="259" customFormat="1" ht="18" customHeight="1" x14ac:dyDescent="0.2">
      <c r="A71" s="435" t="s">
        <v>179</v>
      </c>
      <c r="B71" s="420"/>
      <c r="C71" s="414"/>
      <c r="D71" s="415"/>
      <c r="E71" s="421"/>
      <c r="F71" s="422"/>
      <c r="G71" s="422"/>
      <c r="H71" s="423"/>
      <c r="I71" s="133">
        <v>0</v>
      </c>
      <c r="J71" s="423"/>
      <c r="K71" s="118">
        <f>(H71+I71)-J71</f>
        <v>0</v>
      </c>
      <c r="M71" s="669"/>
      <c r="N71" s="669"/>
      <c r="O71" s="669"/>
      <c r="P71" s="669"/>
      <c r="Q71" s="656"/>
    </row>
    <row r="72" spans="1:17" s="259" customFormat="1" ht="18" customHeight="1" x14ac:dyDescent="0.2">
      <c r="A72" s="435" t="s">
        <v>180</v>
      </c>
      <c r="B72" s="424"/>
      <c r="C72" s="425"/>
      <c r="D72" s="426"/>
      <c r="E72" s="421"/>
      <c r="F72" s="221"/>
      <c r="G72" s="221"/>
      <c r="H72" s="118"/>
      <c r="I72" s="133">
        <v>0</v>
      </c>
      <c r="J72" s="118"/>
      <c r="K72" s="118">
        <f>(H72+I72)-J72</f>
        <v>0</v>
      </c>
      <c r="M72" s="669"/>
      <c r="N72" s="669"/>
      <c r="O72" s="669"/>
      <c r="P72" s="669"/>
      <c r="Q72" s="656"/>
    </row>
    <row r="73" spans="1:17" s="259" customFormat="1" ht="18" customHeight="1" x14ac:dyDescent="0.2">
      <c r="A73" s="435"/>
      <c r="B73" s="419"/>
      <c r="E73" s="421"/>
      <c r="F73" s="427"/>
      <c r="G73" s="427"/>
      <c r="H73" s="137"/>
      <c r="I73" s="137"/>
      <c r="J73" s="137"/>
      <c r="K73" s="137"/>
      <c r="M73" s="669"/>
      <c r="N73" s="669"/>
      <c r="O73" s="669"/>
      <c r="P73" s="669"/>
      <c r="Q73" s="656"/>
    </row>
    <row r="74" spans="1:17" s="259" customFormat="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c r="M74" s="669"/>
      <c r="N74" s="669"/>
      <c r="O74" s="669"/>
      <c r="P74" s="669"/>
      <c r="Q74" s="656"/>
    </row>
    <row r="75" spans="1:17" s="259" customFormat="1" ht="42.75" customHeight="1" x14ac:dyDescent="0.2">
      <c r="A75" s="430"/>
      <c r="F75" s="454" t="s">
        <v>9</v>
      </c>
      <c r="G75" s="454" t="s">
        <v>37</v>
      </c>
      <c r="H75" s="454" t="s">
        <v>29</v>
      </c>
      <c r="I75" s="454" t="s">
        <v>30</v>
      </c>
      <c r="J75" s="454" t="s">
        <v>33</v>
      </c>
      <c r="K75" s="454" t="s">
        <v>34</v>
      </c>
      <c r="M75" s="669"/>
      <c r="N75" s="669"/>
      <c r="O75" s="669"/>
      <c r="P75" s="669"/>
      <c r="Q75" s="656"/>
    </row>
    <row r="76" spans="1:17" s="259" customFormat="1" ht="18" customHeight="1" x14ac:dyDescent="0.2">
      <c r="A76" s="455" t="s">
        <v>105</v>
      </c>
      <c r="B76" s="421" t="s">
        <v>106</v>
      </c>
      <c r="M76" s="669"/>
      <c r="N76" s="669"/>
      <c r="O76" s="669"/>
      <c r="P76" s="669"/>
      <c r="Q76" s="656"/>
    </row>
    <row r="77" spans="1:17" s="259" customFormat="1" ht="18" customHeight="1" x14ac:dyDescent="0.2">
      <c r="A77" s="435" t="s">
        <v>107</v>
      </c>
      <c r="B77" s="419" t="s">
        <v>54</v>
      </c>
      <c r="F77" s="221"/>
      <c r="G77" s="221"/>
      <c r="H77" s="118">
        <v>62100</v>
      </c>
      <c r="I77" s="133">
        <v>0</v>
      </c>
      <c r="J77" s="118"/>
      <c r="K77" s="118">
        <f>(H77+I77)-J77</f>
        <v>62100</v>
      </c>
      <c r="M77" s="669"/>
      <c r="N77" s="669"/>
      <c r="O77" s="669"/>
      <c r="P77" s="669"/>
      <c r="Q77" s="656"/>
    </row>
    <row r="78" spans="1:17" s="259" customFormat="1" ht="18" customHeight="1" x14ac:dyDescent="0.2">
      <c r="A78" s="435" t="s">
        <v>108</v>
      </c>
      <c r="B78" s="419" t="s">
        <v>55</v>
      </c>
      <c r="F78" s="221"/>
      <c r="G78" s="221"/>
      <c r="H78" s="118"/>
      <c r="I78" s="133">
        <v>0</v>
      </c>
      <c r="J78" s="118"/>
      <c r="K78" s="118">
        <f>(H78+I78)-J78</f>
        <v>0</v>
      </c>
      <c r="M78" s="669"/>
      <c r="N78" s="669"/>
      <c r="O78" s="669"/>
      <c r="P78" s="669"/>
      <c r="Q78" s="656"/>
    </row>
    <row r="79" spans="1:17" s="259" customFormat="1" ht="18" customHeight="1" x14ac:dyDescent="0.2">
      <c r="A79" s="435" t="s">
        <v>109</v>
      </c>
      <c r="B79" s="419" t="s">
        <v>13</v>
      </c>
      <c r="F79" s="221">
        <v>72</v>
      </c>
      <c r="G79" s="221">
        <v>42</v>
      </c>
      <c r="H79" s="118">
        <f>+F79*32.44+1658*18</f>
        <v>32179.68</v>
      </c>
      <c r="I79" s="133">
        <v>0</v>
      </c>
      <c r="J79" s="118"/>
      <c r="K79" s="118">
        <f>(H79+I79)-J79</f>
        <v>32179.68</v>
      </c>
      <c r="M79" s="669" t="s">
        <v>751</v>
      </c>
      <c r="N79" s="669"/>
      <c r="O79" s="669"/>
      <c r="P79" s="669"/>
      <c r="Q79" s="656"/>
    </row>
    <row r="80" spans="1:17" s="259" customFormat="1" ht="18" customHeight="1" x14ac:dyDescent="0.2">
      <c r="A80" s="435" t="s">
        <v>110</v>
      </c>
      <c r="B80" s="419" t="s">
        <v>56</v>
      </c>
      <c r="F80" s="221"/>
      <c r="G80" s="221"/>
      <c r="H80" s="118"/>
      <c r="I80" s="133">
        <v>0</v>
      </c>
      <c r="J80" s="118"/>
      <c r="K80" s="118">
        <f>(H80+I80)-J80</f>
        <v>0</v>
      </c>
      <c r="M80" s="669"/>
      <c r="N80" s="669"/>
      <c r="O80" s="669"/>
      <c r="P80" s="669"/>
      <c r="Q80" s="656"/>
    </row>
    <row r="81" spans="1:17" s="259" customFormat="1" ht="18" customHeight="1" x14ac:dyDescent="0.2">
      <c r="A81" s="435"/>
      <c r="K81" s="428"/>
      <c r="M81" s="669"/>
      <c r="N81" s="669"/>
      <c r="O81" s="669"/>
      <c r="P81" s="669"/>
      <c r="Q81" s="656"/>
    </row>
    <row r="82" spans="1:17" s="259" customFormat="1" ht="18" customHeight="1" x14ac:dyDescent="0.2">
      <c r="A82" s="435" t="s">
        <v>148</v>
      </c>
      <c r="B82" s="421" t="s">
        <v>149</v>
      </c>
      <c r="E82" s="421" t="s">
        <v>7</v>
      </c>
      <c r="F82" s="122">
        <f t="shared" ref="F82:K82" si="8">SUM(F77:F80)</f>
        <v>72</v>
      </c>
      <c r="G82" s="122">
        <f t="shared" si="8"/>
        <v>42</v>
      </c>
      <c r="H82" s="118">
        <f t="shared" si="8"/>
        <v>94279.679999999993</v>
      </c>
      <c r="I82" s="118">
        <f t="shared" si="8"/>
        <v>0</v>
      </c>
      <c r="J82" s="118">
        <f t="shared" si="8"/>
        <v>0</v>
      </c>
      <c r="K82" s="118">
        <f t="shared" si="8"/>
        <v>94279.679999999993</v>
      </c>
      <c r="M82" s="669"/>
      <c r="N82" s="669"/>
      <c r="O82" s="669"/>
      <c r="P82" s="669"/>
      <c r="Q82" s="656"/>
    </row>
    <row r="83" spans="1:17" s="259" customFormat="1" ht="18" customHeight="1" thickBot="1" x14ac:dyDescent="0.25">
      <c r="A83" s="435"/>
      <c r="F83" s="469"/>
      <c r="G83" s="469"/>
      <c r="H83" s="469"/>
      <c r="I83" s="469"/>
      <c r="J83" s="469"/>
      <c r="K83" s="469"/>
      <c r="M83" s="669"/>
      <c r="N83" s="669"/>
      <c r="O83" s="669"/>
      <c r="P83" s="669"/>
      <c r="Q83" s="656"/>
    </row>
    <row r="84" spans="1:17" s="259" customFormat="1" ht="42.75" customHeight="1" x14ac:dyDescent="0.2">
      <c r="A84" s="430"/>
      <c r="F84" s="454" t="s">
        <v>9</v>
      </c>
      <c r="G84" s="454" t="s">
        <v>37</v>
      </c>
      <c r="H84" s="454" t="s">
        <v>29</v>
      </c>
      <c r="I84" s="454" t="s">
        <v>30</v>
      </c>
      <c r="J84" s="454" t="s">
        <v>33</v>
      </c>
      <c r="K84" s="454" t="s">
        <v>34</v>
      </c>
      <c r="M84" s="669"/>
      <c r="N84" s="669"/>
      <c r="O84" s="669"/>
      <c r="P84" s="669"/>
      <c r="Q84" s="656"/>
    </row>
    <row r="85" spans="1:17" s="259" customFormat="1" ht="18" customHeight="1" x14ac:dyDescent="0.2">
      <c r="A85" s="455" t="s">
        <v>111</v>
      </c>
      <c r="B85" s="421" t="s">
        <v>57</v>
      </c>
      <c r="M85" s="669"/>
      <c r="N85" s="669"/>
      <c r="O85" s="669"/>
      <c r="P85" s="669"/>
      <c r="Q85" s="656"/>
    </row>
    <row r="86" spans="1:17" s="259" customFormat="1" ht="18" customHeight="1" x14ac:dyDescent="0.2">
      <c r="A86" s="435" t="s">
        <v>112</v>
      </c>
      <c r="B86" s="419" t="s">
        <v>113</v>
      </c>
      <c r="F86" s="221"/>
      <c r="G86" s="221"/>
      <c r="H86" s="118"/>
      <c r="I86" s="133">
        <f t="shared" ref="I86:I96" si="9">H86*F$114</f>
        <v>0</v>
      </c>
      <c r="J86" s="118"/>
      <c r="K86" s="118">
        <f t="shared" ref="K86:K96" si="10">(H86+I86)-J86</f>
        <v>0</v>
      </c>
      <c r="M86" s="669"/>
      <c r="N86" s="669"/>
      <c r="O86" s="669"/>
      <c r="P86" s="669"/>
      <c r="Q86" s="656"/>
    </row>
    <row r="87" spans="1:17" s="259" customFormat="1" ht="18" customHeight="1" x14ac:dyDescent="0.2">
      <c r="A87" s="435" t="s">
        <v>114</v>
      </c>
      <c r="B87" s="419" t="s">
        <v>14</v>
      </c>
      <c r="F87" s="221">
        <v>230</v>
      </c>
      <c r="G87" s="221"/>
      <c r="H87" s="118">
        <f>+F87*158.74*1.239</f>
        <v>45236.137800000011</v>
      </c>
      <c r="I87" s="133">
        <f t="shared" si="9"/>
        <v>24106.337833620008</v>
      </c>
      <c r="J87" s="118"/>
      <c r="K87" s="118">
        <f t="shared" si="10"/>
        <v>69342.475633620023</v>
      </c>
      <c r="M87" s="669" t="s">
        <v>752</v>
      </c>
      <c r="N87" s="669"/>
      <c r="O87" s="669"/>
      <c r="P87" s="669"/>
      <c r="Q87" s="656"/>
    </row>
    <row r="88" spans="1:17" s="259" customFormat="1" ht="18" customHeight="1" x14ac:dyDescent="0.2">
      <c r="A88" s="435" t="s">
        <v>115</v>
      </c>
      <c r="B88" s="419" t="s">
        <v>116</v>
      </c>
      <c r="F88" s="221">
        <f>104+111</f>
        <v>215</v>
      </c>
      <c r="G88" s="221">
        <v>2296</v>
      </c>
      <c r="H88" s="118">
        <f>2514+31*45.71+(111-32)*40.74+104*18.86</f>
        <v>9110.91</v>
      </c>
      <c r="I88" s="133">
        <f t="shared" si="9"/>
        <v>4855.203939</v>
      </c>
      <c r="J88" s="118"/>
      <c r="K88" s="118">
        <f t="shared" si="10"/>
        <v>13966.113938999999</v>
      </c>
      <c r="M88" s="669" t="s">
        <v>753</v>
      </c>
      <c r="N88" s="669"/>
      <c r="O88" s="669"/>
      <c r="P88" s="669"/>
      <c r="Q88" s="656"/>
    </row>
    <row r="89" spans="1:17" s="259" customFormat="1" ht="18" customHeight="1" x14ac:dyDescent="0.2">
      <c r="A89" s="435" t="s">
        <v>117</v>
      </c>
      <c r="B89" s="419" t="s">
        <v>58</v>
      </c>
      <c r="F89" s="221">
        <v>208</v>
      </c>
      <c r="G89" s="221"/>
      <c r="H89" s="118">
        <f>116741+208*42.5</f>
        <v>125581</v>
      </c>
      <c r="I89" s="133">
        <f t="shared" si="9"/>
        <v>66922.1149</v>
      </c>
      <c r="J89" s="118"/>
      <c r="K89" s="118">
        <f t="shared" si="10"/>
        <v>192503.11489999999</v>
      </c>
      <c r="M89" s="669" t="s">
        <v>753</v>
      </c>
      <c r="N89" s="669"/>
      <c r="O89" s="669"/>
      <c r="P89" s="669"/>
      <c r="Q89" s="656"/>
    </row>
    <row r="90" spans="1:17" s="259" customFormat="1" ht="18" customHeight="1" x14ac:dyDescent="0.2">
      <c r="A90" s="435" t="s">
        <v>118</v>
      </c>
      <c r="B90" s="465" t="s">
        <v>59</v>
      </c>
      <c r="C90" s="466"/>
      <c r="F90" s="221"/>
      <c r="G90" s="221"/>
      <c r="H90" s="118"/>
      <c r="I90" s="133">
        <f t="shared" si="9"/>
        <v>0</v>
      </c>
      <c r="J90" s="118"/>
      <c r="K90" s="118">
        <f t="shared" si="10"/>
        <v>0</v>
      </c>
      <c r="M90" s="669"/>
      <c r="N90" s="669"/>
      <c r="O90" s="669"/>
      <c r="P90" s="669"/>
      <c r="Q90" s="656"/>
    </row>
    <row r="91" spans="1:17" s="259" customFormat="1" ht="18" customHeight="1" x14ac:dyDescent="0.2">
      <c r="A91" s="435" t="s">
        <v>119</v>
      </c>
      <c r="B91" s="419" t="s">
        <v>60</v>
      </c>
      <c r="F91" s="221"/>
      <c r="G91" s="221"/>
      <c r="H91" s="118"/>
      <c r="I91" s="133">
        <f t="shared" si="9"/>
        <v>0</v>
      </c>
      <c r="J91" s="118"/>
      <c r="K91" s="118">
        <f t="shared" si="10"/>
        <v>0</v>
      </c>
      <c r="M91" s="669"/>
      <c r="N91" s="669"/>
      <c r="O91" s="669"/>
      <c r="P91" s="669"/>
      <c r="Q91" s="656"/>
    </row>
    <row r="92" spans="1:17" s="259" customFormat="1" ht="18" customHeight="1" x14ac:dyDescent="0.2">
      <c r="A92" s="435" t="s">
        <v>120</v>
      </c>
      <c r="B92" s="419" t="s">
        <v>121</v>
      </c>
      <c r="F92" s="257"/>
      <c r="G92" s="257"/>
      <c r="H92" s="429"/>
      <c r="I92" s="133">
        <f t="shared" si="9"/>
        <v>0</v>
      </c>
      <c r="J92" s="429"/>
      <c r="K92" s="118">
        <f t="shared" si="10"/>
        <v>0</v>
      </c>
      <c r="M92" s="669"/>
      <c r="N92" s="669"/>
      <c r="O92" s="669"/>
      <c r="P92" s="669"/>
      <c r="Q92" s="656"/>
    </row>
    <row r="93" spans="1:17" s="259" customFormat="1" ht="18" customHeight="1" x14ac:dyDescent="0.2">
      <c r="A93" s="435" t="s">
        <v>122</v>
      </c>
      <c r="B93" s="419" t="s">
        <v>123</v>
      </c>
      <c r="F93" s="221">
        <v>936</v>
      </c>
      <c r="G93" s="221">
        <v>984</v>
      </c>
      <c r="H93" s="118">
        <f>0.15*(29.95*2080+27.46*2080+28.7*2080)*1.239</f>
        <v>33287.370479999998</v>
      </c>
      <c r="I93" s="133">
        <f t="shared" si="9"/>
        <v>17738.839728792002</v>
      </c>
      <c r="J93" s="118"/>
      <c r="K93" s="118">
        <f t="shared" si="10"/>
        <v>51026.210208791999</v>
      </c>
      <c r="M93" s="669"/>
      <c r="N93" s="669"/>
      <c r="O93" s="669"/>
      <c r="P93" s="669"/>
      <c r="Q93" s="656"/>
    </row>
    <row r="94" spans="1:17" s="259" customFormat="1" ht="18" customHeight="1" x14ac:dyDescent="0.2">
      <c r="A94" s="435" t="s">
        <v>124</v>
      </c>
      <c r="B94" s="418"/>
      <c r="C94" s="417"/>
      <c r="D94" s="412"/>
      <c r="F94" s="221"/>
      <c r="G94" s="221"/>
      <c r="H94" s="118"/>
      <c r="I94" s="133">
        <f t="shared" si="9"/>
        <v>0</v>
      </c>
      <c r="J94" s="118"/>
      <c r="K94" s="118">
        <f t="shared" si="10"/>
        <v>0</v>
      </c>
      <c r="M94" s="669"/>
      <c r="N94" s="669"/>
      <c r="O94" s="669"/>
      <c r="P94" s="669"/>
      <c r="Q94" s="656"/>
    </row>
    <row r="95" spans="1:17" s="259" customFormat="1" ht="18" customHeight="1" x14ac:dyDescent="0.2">
      <c r="A95" s="435" t="s">
        <v>125</v>
      </c>
      <c r="B95" s="418"/>
      <c r="C95" s="417"/>
      <c r="D95" s="412"/>
      <c r="F95" s="221"/>
      <c r="G95" s="221"/>
      <c r="H95" s="118"/>
      <c r="I95" s="133">
        <f t="shared" si="9"/>
        <v>0</v>
      </c>
      <c r="J95" s="118"/>
      <c r="K95" s="118">
        <f t="shared" si="10"/>
        <v>0</v>
      </c>
      <c r="M95" s="669"/>
      <c r="N95" s="669"/>
      <c r="O95" s="669"/>
      <c r="P95" s="669"/>
      <c r="Q95" s="656"/>
    </row>
    <row r="96" spans="1:17" s="259" customFormat="1" ht="18" customHeight="1" x14ac:dyDescent="0.2">
      <c r="A96" s="435" t="s">
        <v>126</v>
      </c>
      <c r="B96" s="418"/>
      <c r="C96" s="417"/>
      <c r="D96" s="412"/>
      <c r="F96" s="221"/>
      <c r="G96" s="221"/>
      <c r="H96" s="118"/>
      <c r="I96" s="133">
        <f t="shared" si="9"/>
        <v>0</v>
      </c>
      <c r="J96" s="118"/>
      <c r="K96" s="118">
        <f t="shared" si="10"/>
        <v>0</v>
      </c>
      <c r="M96" s="669"/>
      <c r="N96" s="669"/>
      <c r="O96" s="669"/>
      <c r="P96" s="669"/>
      <c r="Q96" s="656"/>
    </row>
    <row r="97" spans="1:17" s="259" customFormat="1" ht="18" customHeight="1" x14ac:dyDescent="0.2">
      <c r="A97" s="435"/>
      <c r="B97" s="419"/>
      <c r="M97" s="669"/>
      <c r="N97" s="669"/>
      <c r="O97" s="669"/>
      <c r="P97" s="669"/>
      <c r="Q97" s="656"/>
    </row>
    <row r="98" spans="1:17" s="259" customFormat="1" ht="18" customHeight="1" x14ac:dyDescent="0.2">
      <c r="A98" s="455" t="s">
        <v>150</v>
      </c>
      <c r="B98" s="421" t="s">
        <v>151</v>
      </c>
      <c r="E98" s="421" t="s">
        <v>7</v>
      </c>
      <c r="F98" s="221">
        <f t="shared" ref="F98:K98" si="11">SUM(F86:F96)</f>
        <v>1589</v>
      </c>
      <c r="G98" s="221">
        <f t="shared" si="11"/>
        <v>3280</v>
      </c>
      <c r="H98" s="221">
        <f t="shared" si="11"/>
        <v>213215.41827999998</v>
      </c>
      <c r="I98" s="221">
        <f t="shared" si="11"/>
        <v>113622.49640141201</v>
      </c>
      <c r="J98" s="221">
        <f t="shared" si="11"/>
        <v>0</v>
      </c>
      <c r="K98" s="221">
        <f t="shared" si="11"/>
        <v>326837.91468141205</v>
      </c>
      <c r="M98" s="669"/>
      <c r="N98" s="669"/>
      <c r="O98" s="669"/>
      <c r="P98" s="669"/>
      <c r="Q98" s="656"/>
    </row>
    <row r="99" spans="1:17" s="259" customFormat="1" ht="18" customHeight="1" thickBot="1" x14ac:dyDescent="0.25">
      <c r="A99" s="430"/>
      <c r="B99" s="421"/>
      <c r="F99" s="469"/>
      <c r="G99" s="469"/>
      <c r="H99" s="469"/>
      <c r="I99" s="469"/>
      <c r="J99" s="469"/>
      <c r="K99" s="469"/>
      <c r="M99" s="669"/>
      <c r="N99" s="669"/>
      <c r="O99" s="669"/>
      <c r="P99" s="669"/>
      <c r="Q99" s="656"/>
    </row>
    <row r="100" spans="1:17" s="259" customFormat="1" ht="42.75" customHeight="1" x14ac:dyDescent="0.2">
      <c r="A100" s="430"/>
      <c r="F100" s="454" t="s">
        <v>9</v>
      </c>
      <c r="G100" s="454" t="s">
        <v>37</v>
      </c>
      <c r="H100" s="454" t="s">
        <v>29</v>
      </c>
      <c r="I100" s="454" t="s">
        <v>30</v>
      </c>
      <c r="J100" s="454" t="s">
        <v>33</v>
      </c>
      <c r="K100" s="454" t="s">
        <v>34</v>
      </c>
      <c r="M100" s="669"/>
      <c r="N100" s="669"/>
      <c r="O100" s="669"/>
      <c r="P100" s="669"/>
      <c r="Q100" s="656"/>
    </row>
    <row r="101" spans="1:17" s="259" customFormat="1" ht="18" customHeight="1" x14ac:dyDescent="0.2">
      <c r="A101" s="455" t="s">
        <v>130</v>
      </c>
      <c r="B101" s="421" t="s">
        <v>63</v>
      </c>
      <c r="M101" s="669"/>
      <c r="N101" s="669"/>
      <c r="O101" s="669"/>
      <c r="P101" s="669"/>
      <c r="Q101" s="656"/>
    </row>
    <row r="102" spans="1:17" s="259" customFormat="1" ht="18" customHeight="1" x14ac:dyDescent="0.2">
      <c r="A102" s="435" t="s">
        <v>131</v>
      </c>
      <c r="B102" s="419" t="s">
        <v>152</v>
      </c>
      <c r="F102" s="221">
        <v>250</v>
      </c>
      <c r="G102" s="221"/>
      <c r="H102" s="118">
        <f>250*158.74*1.239</f>
        <v>49169.715000000004</v>
      </c>
      <c r="I102" s="133">
        <f>H102*F$114</f>
        <v>26202.541123500003</v>
      </c>
      <c r="J102" s="118"/>
      <c r="K102" s="118">
        <f>(H102+I102)-J102</f>
        <v>75372.256123500003</v>
      </c>
      <c r="M102" s="669" t="s">
        <v>754</v>
      </c>
      <c r="N102" s="669"/>
      <c r="O102" s="669"/>
      <c r="P102" s="669"/>
      <c r="Q102" s="656"/>
    </row>
    <row r="103" spans="1:17" s="259" customFormat="1" ht="18" customHeight="1" x14ac:dyDescent="0.2">
      <c r="A103" s="435" t="s">
        <v>132</v>
      </c>
      <c r="B103" s="465" t="s">
        <v>62</v>
      </c>
      <c r="C103" s="465"/>
      <c r="F103" s="221"/>
      <c r="G103" s="221"/>
      <c r="H103" s="118"/>
      <c r="I103" s="133">
        <f>H103*F$114</f>
        <v>0</v>
      </c>
      <c r="J103" s="118"/>
      <c r="K103" s="118">
        <f>(H103+I103)-J103</f>
        <v>0</v>
      </c>
      <c r="M103" s="669"/>
      <c r="N103" s="669"/>
      <c r="O103" s="669"/>
      <c r="P103" s="669"/>
      <c r="Q103" s="656"/>
    </row>
    <row r="104" spans="1:17" s="259" customFormat="1" ht="18" customHeight="1" x14ac:dyDescent="0.2">
      <c r="A104" s="435" t="s">
        <v>128</v>
      </c>
      <c r="B104" s="418"/>
      <c r="C104" s="417"/>
      <c r="D104" s="412"/>
      <c r="F104" s="221"/>
      <c r="G104" s="221"/>
      <c r="H104" s="118"/>
      <c r="I104" s="133">
        <f>H104*F$114</f>
        <v>0</v>
      </c>
      <c r="J104" s="118"/>
      <c r="K104" s="118">
        <f>(H104+I104)-J104</f>
        <v>0</v>
      </c>
      <c r="M104" s="669"/>
      <c r="N104" s="669"/>
      <c r="O104" s="669"/>
      <c r="P104" s="669"/>
      <c r="Q104" s="656"/>
    </row>
    <row r="105" spans="1:17" s="259" customFormat="1" ht="18" customHeight="1" x14ac:dyDescent="0.2">
      <c r="A105" s="435" t="s">
        <v>127</v>
      </c>
      <c r="B105" s="418"/>
      <c r="C105" s="417"/>
      <c r="D105" s="412"/>
      <c r="F105" s="221"/>
      <c r="G105" s="221"/>
      <c r="H105" s="118"/>
      <c r="I105" s="133">
        <f>H105*F$114</f>
        <v>0</v>
      </c>
      <c r="J105" s="118"/>
      <c r="K105" s="118">
        <f>(H105+I105)-J105</f>
        <v>0</v>
      </c>
      <c r="M105" s="669"/>
      <c r="N105" s="669"/>
      <c r="O105" s="669"/>
      <c r="P105" s="669"/>
      <c r="Q105" s="656"/>
    </row>
    <row r="106" spans="1:17" s="259" customFormat="1" ht="18" customHeight="1" x14ac:dyDescent="0.2">
      <c r="A106" s="435" t="s">
        <v>129</v>
      </c>
      <c r="B106" s="418"/>
      <c r="C106" s="417"/>
      <c r="D106" s="412"/>
      <c r="F106" s="221"/>
      <c r="G106" s="221"/>
      <c r="H106" s="118"/>
      <c r="I106" s="133">
        <f>H106*F$114</f>
        <v>0</v>
      </c>
      <c r="J106" s="118"/>
      <c r="K106" s="118">
        <f>(H106+I106)-J106</f>
        <v>0</v>
      </c>
      <c r="M106" s="669"/>
      <c r="N106" s="669"/>
      <c r="O106" s="669"/>
      <c r="P106" s="669"/>
      <c r="Q106" s="656"/>
    </row>
    <row r="107" spans="1:17" s="259" customFormat="1" ht="18" customHeight="1" x14ac:dyDescent="0.2">
      <c r="A107" s="430"/>
      <c r="B107" s="421"/>
      <c r="M107" s="669"/>
      <c r="N107" s="669"/>
      <c r="O107" s="669"/>
      <c r="P107" s="669"/>
      <c r="Q107" s="656"/>
    </row>
    <row r="108" spans="1:17" s="468" customFormat="1" ht="18" customHeight="1" x14ac:dyDescent="0.2">
      <c r="A108" s="455" t="s">
        <v>153</v>
      </c>
      <c r="B108" s="481" t="s">
        <v>154</v>
      </c>
      <c r="C108" s="259"/>
      <c r="D108" s="259"/>
      <c r="E108" s="421" t="s">
        <v>7</v>
      </c>
      <c r="F108" s="221">
        <f t="shared" ref="F108:K108" si="12">SUM(F102:F106)</f>
        <v>250</v>
      </c>
      <c r="G108" s="221">
        <f t="shared" si="12"/>
        <v>0</v>
      </c>
      <c r="H108" s="118">
        <f t="shared" si="12"/>
        <v>49169.715000000004</v>
      </c>
      <c r="I108" s="118">
        <f t="shared" si="12"/>
        <v>26202.541123500003</v>
      </c>
      <c r="J108" s="118">
        <f t="shared" si="12"/>
        <v>0</v>
      </c>
      <c r="K108" s="118">
        <f t="shared" si="12"/>
        <v>75372.256123500003</v>
      </c>
      <c r="M108" s="858"/>
      <c r="N108" s="858"/>
      <c r="O108" s="858"/>
      <c r="P108" s="858"/>
      <c r="Q108" s="258"/>
    </row>
    <row r="109" spans="1:17" s="468" customFormat="1" ht="18" customHeight="1" thickBot="1" x14ac:dyDescent="0.25">
      <c r="A109" s="482"/>
      <c r="B109" s="483"/>
      <c r="C109" s="484"/>
      <c r="D109" s="484"/>
      <c r="E109" s="484"/>
      <c r="F109" s="469"/>
      <c r="G109" s="469"/>
      <c r="H109" s="469"/>
      <c r="I109" s="469"/>
      <c r="J109" s="469"/>
      <c r="K109" s="469"/>
      <c r="M109" s="858"/>
      <c r="N109" s="858"/>
      <c r="O109" s="858"/>
      <c r="P109" s="858"/>
      <c r="Q109" s="258"/>
    </row>
    <row r="110" spans="1:17" s="468" customFormat="1" ht="18" customHeight="1" x14ac:dyDescent="0.2">
      <c r="A110" s="455" t="s">
        <v>156</v>
      </c>
      <c r="B110" s="421" t="s">
        <v>39</v>
      </c>
      <c r="C110" s="259"/>
      <c r="D110" s="259"/>
      <c r="E110" s="259"/>
      <c r="F110" s="259"/>
      <c r="G110" s="259"/>
      <c r="H110" s="259"/>
      <c r="I110" s="259"/>
      <c r="J110" s="259"/>
      <c r="K110" s="259"/>
      <c r="M110" s="858"/>
      <c r="N110" s="858"/>
      <c r="O110" s="858"/>
      <c r="P110" s="858"/>
      <c r="Q110" s="258"/>
    </row>
    <row r="111" spans="1:17" s="259" customFormat="1" ht="18" customHeight="1" x14ac:dyDescent="0.2">
      <c r="A111" s="455" t="s">
        <v>155</v>
      </c>
      <c r="B111" s="421" t="s">
        <v>164</v>
      </c>
      <c r="E111" s="421" t="s">
        <v>7</v>
      </c>
      <c r="F111" s="118">
        <v>3962000</v>
      </c>
      <c r="M111" s="669"/>
      <c r="N111" s="669"/>
      <c r="O111" s="669"/>
      <c r="P111" s="669"/>
      <c r="Q111" s="656"/>
    </row>
    <row r="112" spans="1:17" s="259" customFormat="1" ht="18" customHeight="1" x14ac:dyDescent="0.2">
      <c r="A112" s="430"/>
      <c r="B112" s="421"/>
      <c r="E112" s="421"/>
      <c r="F112" s="258"/>
      <c r="M112" s="669"/>
      <c r="N112" s="669"/>
      <c r="O112" s="669"/>
      <c r="P112" s="669"/>
      <c r="Q112" s="656"/>
    </row>
    <row r="113" spans="1:17" s="259" customFormat="1" ht="18" customHeight="1" x14ac:dyDescent="0.2">
      <c r="A113" s="455"/>
      <c r="B113" s="421" t="s">
        <v>15</v>
      </c>
      <c r="M113" s="669"/>
      <c r="N113" s="669"/>
      <c r="O113" s="669"/>
      <c r="P113" s="669"/>
      <c r="Q113" s="656"/>
    </row>
    <row r="114" spans="1:17" s="259" customFormat="1" ht="18" customHeight="1" x14ac:dyDescent="0.2">
      <c r="A114" s="435" t="s">
        <v>171</v>
      </c>
      <c r="B114" s="419" t="s">
        <v>35</v>
      </c>
      <c r="F114" s="260">
        <v>0.53290000000000004</v>
      </c>
      <c r="M114" s="669"/>
      <c r="N114" s="669"/>
      <c r="O114" s="669"/>
      <c r="P114" s="669"/>
      <c r="Q114" s="656"/>
    </row>
    <row r="115" spans="1:17" s="259" customFormat="1" ht="18" customHeight="1" x14ac:dyDescent="0.2">
      <c r="A115" s="435"/>
      <c r="B115" s="421"/>
      <c r="M115" s="669"/>
      <c r="N115" s="669"/>
      <c r="O115" s="669"/>
      <c r="P115" s="669"/>
      <c r="Q115" s="656"/>
    </row>
    <row r="116" spans="1:17" s="259" customFormat="1" ht="18" customHeight="1" x14ac:dyDescent="0.2">
      <c r="A116" s="435" t="s">
        <v>170</v>
      </c>
      <c r="B116" s="421" t="s">
        <v>16</v>
      </c>
      <c r="M116" s="669"/>
      <c r="N116" s="669"/>
      <c r="O116" s="669"/>
      <c r="P116" s="669"/>
      <c r="Q116" s="656"/>
    </row>
    <row r="117" spans="1:17" s="259" customFormat="1" ht="18" customHeight="1" x14ac:dyDescent="0.2">
      <c r="A117" s="435" t="s">
        <v>172</v>
      </c>
      <c r="B117" s="419" t="s">
        <v>17</v>
      </c>
      <c r="F117" s="118">
        <v>210524000</v>
      </c>
      <c r="M117" s="669"/>
      <c r="N117" s="669"/>
      <c r="O117" s="669"/>
      <c r="P117" s="669"/>
      <c r="Q117" s="656"/>
    </row>
    <row r="118" spans="1:17" s="259" customFormat="1" ht="18" customHeight="1" x14ac:dyDescent="0.2">
      <c r="A118" s="435" t="s">
        <v>173</v>
      </c>
      <c r="B118" s="259" t="s">
        <v>18</v>
      </c>
      <c r="F118" s="118">
        <v>18610000</v>
      </c>
      <c r="M118" s="669"/>
      <c r="N118" s="669"/>
      <c r="O118" s="669"/>
      <c r="P118" s="669"/>
      <c r="Q118" s="656"/>
    </row>
    <row r="119" spans="1:17" s="259" customFormat="1" ht="18" customHeight="1" x14ac:dyDescent="0.2">
      <c r="A119" s="435" t="s">
        <v>174</v>
      </c>
      <c r="B119" s="421" t="s">
        <v>19</v>
      </c>
      <c r="F119" s="118">
        <f>SUM(F117:F118)</f>
        <v>229134000</v>
      </c>
      <c r="M119" s="669"/>
      <c r="N119" s="669"/>
      <c r="O119" s="669"/>
      <c r="P119" s="669"/>
      <c r="Q119" s="656"/>
    </row>
    <row r="120" spans="1:17" s="259" customFormat="1" ht="18" customHeight="1" x14ac:dyDescent="0.2">
      <c r="A120" s="435"/>
      <c r="B120" s="421"/>
      <c r="M120" s="669"/>
      <c r="N120" s="669"/>
      <c r="O120" s="669"/>
      <c r="P120" s="669"/>
      <c r="Q120" s="656"/>
    </row>
    <row r="121" spans="1:17" s="259" customFormat="1" ht="18" customHeight="1" x14ac:dyDescent="0.2">
      <c r="A121" s="435" t="s">
        <v>167</v>
      </c>
      <c r="B121" s="421" t="s">
        <v>36</v>
      </c>
      <c r="F121" s="118">
        <v>223093000</v>
      </c>
      <c r="M121" s="669"/>
      <c r="N121" s="669"/>
      <c r="O121" s="669"/>
      <c r="P121" s="669"/>
      <c r="Q121" s="656"/>
    </row>
    <row r="122" spans="1:17" s="259" customFormat="1" ht="18" customHeight="1" x14ac:dyDescent="0.2">
      <c r="A122" s="435"/>
      <c r="M122" s="669"/>
      <c r="N122" s="669"/>
      <c r="O122" s="669"/>
      <c r="P122" s="669"/>
      <c r="Q122" s="656"/>
    </row>
    <row r="123" spans="1:17" s="259" customFormat="1" ht="18" customHeight="1" x14ac:dyDescent="0.2">
      <c r="A123" s="435" t="s">
        <v>175</v>
      </c>
      <c r="B123" s="421" t="s">
        <v>20</v>
      </c>
      <c r="F123" s="118">
        <v>6041000</v>
      </c>
      <c r="M123" s="669"/>
      <c r="N123" s="669"/>
      <c r="O123" s="669"/>
      <c r="P123" s="669"/>
      <c r="Q123" s="656"/>
    </row>
    <row r="124" spans="1:17" s="259" customFormat="1" ht="18" customHeight="1" x14ac:dyDescent="0.2">
      <c r="A124" s="435"/>
      <c r="M124" s="669"/>
      <c r="N124" s="669"/>
      <c r="O124" s="669"/>
      <c r="P124" s="669"/>
      <c r="Q124" s="656"/>
    </row>
    <row r="125" spans="1:17" s="259" customFormat="1" ht="18" customHeight="1" x14ac:dyDescent="0.2">
      <c r="A125" s="435" t="s">
        <v>176</v>
      </c>
      <c r="B125" s="421" t="s">
        <v>21</v>
      </c>
      <c r="F125" s="118">
        <v>-3463000</v>
      </c>
      <c r="M125" s="669"/>
      <c r="N125" s="669"/>
      <c r="O125" s="669"/>
      <c r="P125" s="669"/>
      <c r="Q125" s="656"/>
    </row>
    <row r="126" spans="1:17" s="259" customFormat="1" ht="18" customHeight="1" x14ac:dyDescent="0.2">
      <c r="A126" s="435"/>
      <c r="M126" s="669"/>
      <c r="N126" s="669"/>
      <c r="O126" s="669"/>
      <c r="P126" s="669"/>
      <c r="Q126" s="656"/>
    </row>
    <row r="127" spans="1:17" s="259" customFormat="1" ht="18" customHeight="1" x14ac:dyDescent="0.2">
      <c r="A127" s="435" t="s">
        <v>177</v>
      </c>
      <c r="B127" s="421" t="s">
        <v>22</v>
      </c>
      <c r="F127" s="118">
        <v>2578000</v>
      </c>
      <c r="M127" s="669"/>
      <c r="N127" s="669"/>
      <c r="O127" s="669"/>
      <c r="P127" s="669"/>
      <c r="Q127" s="656"/>
    </row>
    <row r="128" spans="1:17" s="259" customFormat="1" ht="18" customHeight="1" x14ac:dyDescent="0.2">
      <c r="A128" s="435"/>
      <c r="M128" s="669"/>
      <c r="N128" s="669"/>
      <c r="O128" s="669"/>
      <c r="P128" s="669"/>
      <c r="Q128" s="656"/>
    </row>
    <row r="129" spans="1:17" s="259" customFormat="1" ht="42.75" customHeight="1" x14ac:dyDescent="0.2">
      <c r="A129" s="430"/>
      <c r="F129" s="454" t="s">
        <v>9</v>
      </c>
      <c r="G129" s="454" t="s">
        <v>37</v>
      </c>
      <c r="H129" s="454" t="s">
        <v>29</v>
      </c>
      <c r="I129" s="454" t="s">
        <v>30</v>
      </c>
      <c r="J129" s="454" t="s">
        <v>33</v>
      </c>
      <c r="K129" s="454" t="s">
        <v>34</v>
      </c>
      <c r="M129" s="669"/>
      <c r="N129" s="669"/>
      <c r="O129" s="669"/>
      <c r="P129" s="669"/>
      <c r="Q129" s="656"/>
    </row>
    <row r="130" spans="1:17" s="259" customFormat="1" ht="18" customHeight="1" x14ac:dyDescent="0.2">
      <c r="A130" s="455" t="s">
        <v>157</v>
      </c>
      <c r="B130" s="421" t="s">
        <v>23</v>
      </c>
      <c r="M130" s="669"/>
      <c r="N130" s="669"/>
      <c r="O130" s="669"/>
      <c r="P130" s="669"/>
      <c r="Q130" s="656"/>
    </row>
    <row r="131" spans="1:17" s="259" customFormat="1" ht="18" customHeight="1" x14ac:dyDescent="0.2">
      <c r="A131" s="435" t="s">
        <v>158</v>
      </c>
      <c r="B131" s="259" t="s">
        <v>24</v>
      </c>
      <c r="F131" s="221"/>
      <c r="G131" s="221"/>
      <c r="H131" s="118"/>
      <c r="I131" s="133">
        <v>0</v>
      </c>
      <c r="J131" s="118"/>
      <c r="K131" s="118">
        <f>(H131+I131)-J131</f>
        <v>0</v>
      </c>
      <c r="M131" s="669"/>
      <c r="N131" s="669"/>
      <c r="O131" s="669"/>
      <c r="P131" s="669"/>
      <c r="Q131" s="656"/>
    </row>
    <row r="132" spans="1:17" s="259" customFormat="1" ht="18" customHeight="1" x14ac:dyDescent="0.2">
      <c r="A132" s="435" t="s">
        <v>159</v>
      </c>
      <c r="B132" s="259" t="s">
        <v>25</v>
      </c>
      <c r="F132" s="221"/>
      <c r="G132" s="221"/>
      <c r="H132" s="118"/>
      <c r="I132" s="133">
        <v>0</v>
      </c>
      <c r="J132" s="118"/>
      <c r="K132" s="118">
        <f>(H132+I132)-J132</f>
        <v>0</v>
      </c>
      <c r="M132" s="669"/>
      <c r="N132" s="669"/>
      <c r="O132" s="669"/>
      <c r="P132" s="669"/>
      <c r="Q132" s="656"/>
    </row>
    <row r="133" spans="1:17" s="259" customFormat="1" ht="18" customHeight="1" x14ac:dyDescent="0.2">
      <c r="A133" s="435" t="s">
        <v>160</v>
      </c>
      <c r="B133" s="456"/>
      <c r="C133" s="457"/>
      <c r="D133" s="458"/>
      <c r="F133" s="221"/>
      <c r="G133" s="221"/>
      <c r="H133" s="118"/>
      <c r="I133" s="133">
        <v>0</v>
      </c>
      <c r="J133" s="118"/>
      <c r="K133" s="118">
        <f>(H133+I133)-J133</f>
        <v>0</v>
      </c>
      <c r="M133" s="669"/>
      <c r="N133" s="669"/>
      <c r="O133" s="669"/>
      <c r="P133" s="669"/>
      <c r="Q133" s="656"/>
    </row>
    <row r="134" spans="1:17" s="259" customFormat="1" ht="18" customHeight="1" x14ac:dyDescent="0.2">
      <c r="A134" s="435" t="s">
        <v>161</v>
      </c>
      <c r="B134" s="456"/>
      <c r="C134" s="457"/>
      <c r="D134" s="458"/>
      <c r="F134" s="221"/>
      <c r="G134" s="221"/>
      <c r="H134" s="118"/>
      <c r="I134" s="133">
        <v>0</v>
      </c>
      <c r="J134" s="118"/>
      <c r="K134" s="118">
        <f>(H134+I134)-J134</f>
        <v>0</v>
      </c>
      <c r="M134" s="669"/>
      <c r="N134" s="669"/>
      <c r="O134" s="669"/>
      <c r="P134" s="669"/>
      <c r="Q134" s="656"/>
    </row>
    <row r="135" spans="1:17" s="259" customFormat="1" ht="18" customHeight="1" x14ac:dyDescent="0.2">
      <c r="A135" s="435" t="s">
        <v>162</v>
      </c>
      <c r="B135" s="456"/>
      <c r="C135" s="457"/>
      <c r="D135" s="458"/>
      <c r="F135" s="221"/>
      <c r="G135" s="221"/>
      <c r="H135" s="118"/>
      <c r="I135" s="133">
        <v>0</v>
      </c>
      <c r="J135" s="118"/>
      <c r="K135" s="118">
        <f>(H135+I135)-J135</f>
        <v>0</v>
      </c>
      <c r="M135" s="669"/>
      <c r="N135" s="669"/>
      <c r="O135" s="669"/>
      <c r="P135" s="669"/>
      <c r="Q135" s="656"/>
    </row>
    <row r="136" spans="1:17" s="259" customFormat="1" ht="18" customHeight="1" x14ac:dyDescent="0.2">
      <c r="A136" s="455"/>
      <c r="M136" s="669"/>
      <c r="N136" s="669"/>
      <c r="O136" s="669"/>
      <c r="P136" s="669"/>
      <c r="Q136" s="656"/>
    </row>
    <row r="137" spans="1:17" s="259" customFormat="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c r="M137" s="669"/>
      <c r="N137" s="669"/>
      <c r="O137" s="669"/>
      <c r="P137" s="669"/>
      <c r="Q137" s="656"/>
    </row>
    <row r="138" spans="1:17" s="259" customFormat="1" ht="18" customHeight="1" x14ac:dyDescent="0.2">
      <c r="M138" s="669"/>
      <c r="N138" s="669"/>
      <c r="O138" s="669"/>
      <c r="P138" s="669"/>
      <c r="Q138" s="656"/>
    </row>
    <row r="139" spans="1:17" s="259" customFormat="1" ht="42.75" customHeight="1" x14ac:dyDescent="0.2">
      <c r="A139" s="430"/>
      <c r="F139" s="454" t="s">
        <v>9</v>
      </c>
      <c r="G139" s="454" t="s">
        <v>37</v>
      </c>
      <c r="H139" s="454" t="s">
        <v>29</v>
      </c>
      <c r="I139" s="454" t="s">
        <v>30</v>
      </c>
      <c r="J139" s="454" t="s">
        <v>33</v>
      </c>
      <c r="K139" s="454" t="s">
        <v>34</v>
      </c>
      <c r="M139" s="669"/>
      <c r="N139" s="669"/>
      <c r="O139" s="669"/>
      <c r="P139" s="669"/>
      <c r="Q139" s="656"/>
    </row>
    <row r="140" spans="1:17" s="259" customFormat="1" ht="18" customHeight="1" x14ac:dyDescent="0.2">
      <c r="A140" s="455" t="s">
        <v>166</v>
      </c>
      <c r="B140" s="421" t="s">
        <v>26</v>
      </c>
      <c r="M140" s="669"/>
      <c r="N140" s="669"/>
      <c r="O140" s="669"/>
      <c r="P140" s="669"/>
      <c r="Q140" s="656"/>
    </row>
    <row r="141" spans="1:17" s="259" customFormat="1" ht="18" customHeight="1" x14ac:dyDescent="0.2">
      <c r="A141" s="435" t="s">
        <v>137</v>
      </c>
      <c r="B141" s="421" t="s">
        <v>64</v>
      </c>
      <c r="F141" s="422">
        <f t="shared" ref="F141:K141" si="14">F36</f>
        <v>10943</v>
      </c>
      <c r="G141" s="422">
        <f t="shared" si="14"/>
        <v>12010</v>
      </c>
      <c r="H141" s="422">
        <f t="shared" si="14"/>
        <v>1832514.0728199999</v>
      </c>
      <c r="I141" s="422">
        <f t="shared" si="14"/>
        <v>976546.74940577801</v>
      </c>
      <c r="J141" s="422">
        <f t="shared" si="14"/>
        <v>0</v>
      </c>
      <c r="K141" s="422">
        <f t="shared" si="14"/>
        <v>2809060.8222257779</v>
      </c>
      <c r="M141" s="669"/>
      <c r="N141" s="669"/>
      <c r="O141" s="669"/>
      <c r="P141" s="669"/>
      <c r="Q141" s="656"/>
    </row>
    <row r="142" spans="1:17" s="259" customFormat="1" ht="18" customHeight="1" x14ac:dyDescent="0.2">
      <c r="A142" s="435" t="s">
        <v>142</v>
      </c>
      <c r="B142" s="421" t="s">
        <v>65</v>
      </c>
      <c r="F142" s="422">
        <f t="shared" ref="F142:K142" si="15">F49</f>
        <v>99096</v>
      </c>
      <c r="G142" s="422">
        <f t="shared" si="15"/>
        <v>0</v>
      </c>
      <c r="H142" s="422">
        <f t="shared" si="15"/>
        <v>5426770.7599999998</v>
      </c>
      <c r="I142" s="422">
        <f t="shared" si="15"/>
        <v>0</v>
      </c>
      <c r="J142" s="422">
        <f t="shared" si="15"/>
        <v>0</v>
      </c>
      <c r="K142" s="422">
        <f t="shared" si="15"/>
        <v>5426770.7599999998</v>
      </c>
      <c r="M142" s="669"/>
      <c r="N142" s="669"/>
      <c r="O142" s="669"/>
      <c r="P142" s="669"/>
      <c r="Q142" s="656"/>
    </row>
    <row r="143" spans="1:17" s="259" customFormat="1" ht="18" customHeight="1" x14ac:dyDescent="0.2">
      <c r="A143" s="435" t="s">
        <v>144</v>
      </c>
      <c r="B143" s="421" t="s">
        <v>66</v>
      </c>
      <c r="F143" s="422">
        <f t="shared" ref="F143:K143" si="16">F64</f>
        <v>0</v>
      </c>
      <c r="G143" s="422">
        <f t="shared" si="16"/>
        <v>0</v>
      </c>
      <c r="H143" s="422">
        <f t="shared" si="16"/>
        <v>24486764</v>
      </c>
      <c r="I143" s="422">
        <f t="shared" si="16"/>
        <v>0</v>
      </c>
      <c r="J143" s="422">
        <f t="shared" si="16"/>
        <v>0</v>
      </c>
      <c r="K143" s="422">
        <f t="shared" si="16"/>
        <v>24486764</v>
      </c>
      <c r="M143" s="669"/>
      <c r="N143" s="669"/>
      <c r="O143" s="669"/>
      <c r="P143" s="669"/>
      <c r="Q143" s="656"/>
    </row>
    <row r="144" spans="1:17" s="259" customFormat="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c r="M144" s="669"/>
      <c r="N144" s="669"/>
      <c r="O144" s="669"/>
      <c r="P144" s="669"/>
      <c r="Q144" s="656"/>
    </row>
    <row r="145" spans="1:17" s="259" customFormat="1" ht="18" customHeight="1" x14ac:dyDescent="0.2">
      <c r="A145" s="435" t="s">
        <v>148</v>
      </c>
      <c r="B145" s="421" t="s">
        <v>68</v>
      </c>
      <c r="F145" s="422">
        <f t="shared" ref="F145:K145" si="18">F82</f>
        <v>72</v>
      </c>
      <c r="G145" s="422">
        <f t="shared" si="18"/>
        <v>42</v>
      </c>
      <c r="H145" s="422">
        <f t="shared" si="18"/>
        <v>94279.679999999993</v>
      </c>
      <c r="I145" s="422">
        <f t="shared" si="18"/>
        <v>0</v>
      </c>
      <c r="J145" s="422">
        <f t="shared" si="18"/>
        <v>0</v>
      </c>
      <c r="K145" s="422">
        <f t="shared" si="18"/>
        <v>94279.679999999993</v>
      </c>
      <c r="M145" s="669"/>
      <c r="N145" s="669"/>
      <c r="O145" s="669"/>
      <c r="P145" s="669"/>
      <c r="Q145" s="656"/>
    </row>
    <row r="146" spans="1:17" s="259" customFormat="1" ht="18" customHeight="1" x14ac:dyDescent="0.2">
      <c r="A146" s="435" t="s">
        <v>150</v>
      </c>
      <c r="B146" s="421" t="s">
        <v>69</v>
      </c>
      <c r="F146" s="422">
        <f t="shared" ref="F146:K146" si="19">F98</f>
        <v>1589</v>
      </c>
      <c r="G146" s="422">
        <f t="shared" si="19"/>
        <v>3280</v>
      </c>
      <c r="H146" s="422">
        <f t="shared" si="19"/>
        <v>213215.41827999998</v>
      </c>
      <c r="I146" s="422">
        <f t="shared" si="19"/>
        <v>113622.49640141201</v>
      </c>
      <c r="J146" s="422">
        <f t="shared" si="19"/>
        <v>0</v>
      </c>
      <c r="K146" s="422">
        <f t="shared" si="19"/>
        <v>326837.91468141205</v>
      </c>
      <c r="M146" s="669"/>
      <c r="N146" s="669"/>
      <c r="O146" s="669"/>
      <c r="P146" s="669"/>
      <c r="Q146" s="656"/>
    </row>
    <row r="147" spans="1:17" s="259" customFormat="1" ht="18" customHeight="1" x14ac:dyDescent="0.2">
      <c r="A147" s="435" t="s">
        <v>153</v>
      </c>
      <c r="B147" s="421" t="s">
        <v>61</v>
      </c>
      <c r="F147" s="221">
        <f t="shared" ref="F147:K147" si="20">F108</f>
        <v>250</v>
      </c>
      <c r="G147" s="221">
        <f t="shared" si="20"/>
        <v>0</v>
      </c>
      <c r="H147" s="221">
        <f t="shared" si="20"/>
        <v>49169.715000000004</v>
      </c>
      <c r="I147" s="221">
        <f t="shared" si="20"/>
        <v>26202.541123500003</v>
      </c>
      <c r="J147" s="221">
        <f t="shared" si="20"/>
        <v>0</v>
      </c>
      <c r="K147" s="221">
        <f t="shared" si="20"/>
        <v>75372.256123500003</v>
      </c>
      <c r="M147" s="669"/>
      <c r="N147" s="669"/>
      <c r="O147" s="669"/>
      <c r="P147" s="669"/>
      <c r="Q147" s="656"/>
    </row>
    <row r="148" spans="1:17" s="259" customFormat="1" ht="18" customHeight="1" x14ac:dyDescent="0.2">
      <c r="A148" s="435" t="s">
        <v>155</v>
      </c>
      <c r="B148" s="421" t="s">
        <v>70</v>
      </c>
      <c r="F148" s="485" t="s">
        <v>73</v>
      </c>
      <c r="G148" s="485" t="s">
        <v>73</v>
      </c>
      <c r="H148" s="486" t="s">
        <v>73</v>
      </c>
      <c r="I148" s="486" t="s">
        <v>73</v>
      </c>
      <c r="J148" s="486" t="s">
        <v>73</v>
      </c>
      <c r="K148" s="422">
        <f>F111</f>
        <v>3962000</v>
      </c>
      <c r="M148" s="669"/>
      <c r="N148" s="669"/>
      <c r="O148" s="669"/>
      <c r="P148" s="669"/>
      <c r="Q148" s="656"/>
    </row>
    <row r="149" spans="1:17" s="259" customFormat="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c r="M149" s="669"/>
      <c r="N149" s="669"/>
      <c r="O149" s="669"/>
      <c r="P149" s="669"/>
      <c r="Q149" s="656"/>
    </row>
    <row r="150" spans="1:17" s="259" customFormat="1" ht="18" customHeight="1" x14ac:dyDescent="0.2">
      <c r="A150" s="435" t="s">
        <v>185</v>
      </c>
      <c r="B150" s="421" t="s">
        <v>186</v>
      </c>
      <c r="F150" s="485" t="s">
        <v>73</v>
      </c>
      <c r="G150" s="485" t="s">
        <v>73</v>
      </c>
      <c r="H150" s="221">
        <f>H18</f>
        <v>5114311</v>
      </c>
      <c r="I150" s="221">
        <f>I18</f>
        <v>0</v>
      </c>
      <c r="J150" s="221">
        <f>J18</f>
        <v>4322602</v>
      </c>
      <c r="K150" s="221">
        <f>K18</f>
        <v>791709</v>
      </c>
      <c r="M150" s="669"/>
      <c r="N150" s="669"/>
      <c r="O150" s="669"/>
      <c r="P150" s="669"/>
      <c r="Q150" s="656"/>
    </row>
    <row r="151" spans="1:17" s="259" customFormat="1" ht="18" customHeight="1" x14ac:dyDescent="0.2">
      <c r="A151" s="430"/>
      <c r="B151" s="421"/>
      <c r="F151" s="478"/>
      <c r="G151" s="478"/>
      <c r="H151" s="478"/>
      <c r="I151" s="478"/>
      <c r="J151" s="478"/>
      <c r="K151" s="478"/>
      <c r="M151" s="669"/>
      <c r="N151" s="669"/>
      <c r="O151" s="669"/>
      <c r="P151" s="669"/>
      <c r="Q151" s="656"/>
    </row>
    <row r="152" spans="1:17" s="259" customFormat="1" ht="18" customHeight="1" x14ac:dyDescent="0.2">
      <c r="A152" s="455" t="s">
        <v>165</v>
      </c>
      <c r="B152" s="421" t="s">
        <v>26</v>
      </c>
      <c r="F152" s="487">
        <f t="shared" ref="F152:K152" si="22">SUM(F141:F150)</f>
        <v>111950</v>
      </c>
      <c r="G152" s="487">
        <f t="shared" si="22"/>
        <v>15332</v>
      </c>
      <c r="H152" s="487">
        <f t="shared" si="22"/>
        <v>37217024.6461</v>
      </c>
      <c r="I152" s="487">
        <f t="shared" si="22"/>
        <v>1116371.7869306901</v>
      </c>
      <c r="J152" s="487">
        <f t="shared" si="22"/>
        <v>4322602</v>
      </c>
      <c r="K152" s="487">
        <f t="shared" si="22"/>
        <v>37972794.433030695</v>
      </c>
      <c r="M152" s="669"/>
      <c r="N152" s="669"/>
      <c r="O152" s="669"/>
      <c r="P152" s="669"/>
      <c r="Q152" s="656"/>
    </row>
    <row r="154" spans="1:17" s="259" customFormat="1" ht="18" customHeight="1" x14ac:dyDescent="0.2">
      <c r="A154" s="455" t="s">
        <v>168</v>
      </c>
      <c r="B154" s="421" t="s">
        <v>28</v>
      </c>
      <c r="F154" s="140">
        <f>K152/F121</f>
        <v>0.17021060469414412</v>
      </c>
      <c r="M154" s="669"/>
      <c r="N154" s="669"/>
      <c r="O154" s="669"/>
      <c r="P154" s="669"/>
      <c r="Q154" s="656"/>
    </row>
    <row r="155" spans="1:17" s="259" customFormat="1" ht="18" customHeight="1" x14ac:dyDescent="0.2">
      <c r="A155" s="455" t="s">
        <v>169</v>
      </c>
      <c r="B155" s="421" t="s">
        <v>72</v>
      </c>
      <c r="F155" s="140">
        <f>K152/F127</f>
        <v>14.729555637327655</v>
      </c>
      <c r="G155" s="421"/>
      <c r="M155" s="669"/>
      <c r="N155" s="669"/>
      <c r="O155" s="669"/>
      <c r="P155" s="669"/>
      <c r="Q155" s="656"/>
    </row>
    <row r="156" spans="1:17" s="259" customFormat="1" ht="18" customHeight="1" x14ac:dyDescent="0.2">
      <c r="A156" s="430"/>
      <c r="G156" s="421"/>
      <c r="M156" s="669"/>
      <c r="N156" s="669"/>
      <c r="O156" s="669"/>
      <c r="P156" s="669"/>
      <c r="Q156" s="656"/>
    </row>
  </sheetData>
  <sheetProtection algorithmName="SHA-512" hashValue="9sPPI4uNIsjwxe4B5vGKjhybJNvGR3E/s6kpWn14/BdHiTz1W+D/ylDNsvm0OHXZGnPFHhRUUrrl/HWcbnL3XA==" saltValue="Tf0i2M3FwF7VSIn8soV3zQ==" spinCount="100000" sheet="1" objects="1" scenarios="1"/>
  <mergeCells count="34">
    <mergeCell ref="C5:G5"/>
    <mergeCell ref="C6:G6"/>
    <mergeCell ref="C7:G7"/>
    <mergeCell ref="C9:G9"/>
    <mergeCell ref="C10:G10"/>
    <mergeCell ref="B34:D34"/>
    <mergeCell ref="C11:G11"/>
    <mergeCell ref="B41:C41"/>
    <mergeCell ref="B44:D44"/>
    <mergeCell ref="B13:H13"/>
    <mergeCell ref="B30:D30"/>
    <mergeCell ref="B31:D31"/>
    <mergeCell ref="B56:D56"/>
    <mergeCell ref="B59:D59"/>
    <mergeCell ref="B62:D62"/>
    <mergeCell ref="B45:D45"/>
    <mergeCell ref="B46:D46"/>
    <mergeCell ref="B47:D47"/>
    <mergeCell ref="B103:C103"/>
    <mergeCell ref="D2:H2"/>
    <mergeCell ref="B134:D134"/>
    <mergeCell ref="B135:D135"/>
    <mergeCell ref="B133:D133"/>
    <mergeCell ref="B104:D104"/>
    <mergeCell ref="B105:D105"/>
    <mergeCell ref="B106:D106"/>
    <mergeCell ref="B96:D96"/>
    <mergeCell ref="B95:D95"/>
    <mergeCell ref="B57:D57"/>
    <mergeCell ref="B94:D94"/>
    <mergeCell ref="B52:C52"/>
    <mergeCell ref="B90:C90"/>
    <mergeCell ref="B53:D53"/>
    <mergeCell ref="B55:D55"/>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156"/>
  <sheetViews>
    <sheetView zoomScale="80" zoomScaleNormal="80" zoomScaleSheetLayoutView="70" workbookViewId="0">
      <selection activeCell="B19" sqref="B19"/>
    </sheetView>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626</v>
      </c>
      <c r="D5" s="437"/>
      <c r="E5" s="437"/>
      <c r="F5" s="437"/>
      <c r="G5" s="438"/>
    </row>
    <row r="6" spans="1:11" ht="18" customHeight="1" x14ac:dyDescent="0.2">
      <c r="B6" s="435" t="s">
        <v>3</v>
      </c>
      <c r="C6" s="439">
        <v>39</v>
      </c>
      <c r="D6" s="440"/>
      <c r="E6" s="440"/>
      <c r="F6" s="440"/>
      <c r="G6" s="441"/>
    </row>
    <row r="7" spans="1:11" ht="18" customHeight="1" x14ac:dyDescent="0.2">
      <c r="B7" s="435" t="s">
        <v>4</v>
      </c>
      <c r="C7" s="492">
        <v>1300</v>
      </c>
      <c r="D7" s="493"/>
      <c r="E7" s="493"/>
      <c r="F7" s="493"/>
      <c r="G7" s="494"/>
    </row>
    <row r="9" spans="1:11" ht="18" customHeight="1" x14ac:dyDescent="0.2">
      <c r="B9" s="435" t="s">
        <v>1</v>
      </c>
      <c r="C9" s="436" t="s">
        <v>269</v>
      </c>
      <c r="D9" s="437"/>
      <c r="E9" s="437"/>
      <c r="F9" s="437"/>
      <c r="G9" s="438"/>
    </row>
    <row r="10" spans="1:11" ht="18" customHeight="1" x14ac:dyDescent="0.2">
      <c r="B10" s="435" t="s">
        <v>2</v>
      </c>
      <c r="C10" s="445" t="s">
        <v>516</v>
      </c>
      <c r="D10" s="446"/>
      <c r="E10" s="446"/>
      <c r="F10" s="446"/>
      <c r="G10" s="447"/>
    </row>
    <row r="11" spans="1:11" ht="18" customHeight="1" x14ac:dyDescent="0.2">
      <c r="B11" s="435" t="s">
        <v>32</v>
      </c>
      <c r="C11" s="495" t="s">
        <v>627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3307374</v>
      </c>
      <c r="I18" s="133">
        <v>0</v>
      </c>
      <c r="J18" s="118">
        <v>2795384</v>
      </c>
      <c r="K18" s="118">
        <f>(H18+I18)-J18</f>
        <v>511990</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3451.5</v>
      </c>
      <c r="G21" s="221">
        <v>2295</v>
      </c>
      <c r="H21" s="118">
        <v>485755</v>
      </c>
      <c r="I21" s="133">
        <v>308313</v>
      </c>
      <c r="J21" s="118">
        <v>305</v>
      </c>
      <c r="K21" s="118">
        <v>793763</v>
      </c>
    </row>
    <row r="22" spans="1:11" ht="18" customHeight="1" x14ac:dyDescent="0.2">
      <c r="A22" s="435" t="s">
        <v>76</v>
      </c>
      <c r="B22" s="259" t="s">
        <v>6</v>
      </c>
      <c r="F22" s="221">
        <v>238</v>
      </c>
      <c r="G22" s="221">
        <v>617</v>
      </c>
      <c r="H22" s="118">
        <v>12190</v>
      </c>
      <c r="I22" s="133">
        <v>9655</v>
      </c>
      <c r="J22" s="118">
        <v>0</v>
      </c>
      <c r="K22" s="118">
        <v>21845</v>
      </c>
    </row>
    <row r="23" spans="1:11" ht="18" customHeight="1" x14ac:dyDescent="0.2">
      <c r="A23" s="435" t="s">
        <v>77</v>
      </c>
      <c r="B23" s="259" t="s">
        <v>43</v>
      </c>
      <c r="F23" s="221">
        <v>50</v>
      </c>
      <c r="G23" s="221">
        <v>20</v>
      </c>
      <c r="H23" s="118">
        <v>4027</v>
      </c>
      <c r="I23" s="133">
        <v>3189</v>
      </c>
      <c r="J23" s="118">
        <v>0</v>
      </c>
      <c r="K23" s="118">
        <v>7216</v>
      </c>
    </row>
    <row r="24" spans="1:11" ht="18" customHeight="1" x14ac:dyDescent="0.2">
      <c r="A24" s="435" t="s">
        <v>78</v>
      </c>
      <c r="B24" s="259" t="s">
        <v>44</v>
      </c>
      <c r="F24" s="221">
        <v>200.5</v>
      </c>
      <c r="G24" s="221">
        <v>142</v>
      </c>
      <c r="H24" s="118">
        <v>7858</v>
      </c>
      <c r="I24" s="133">
        <v>6222</v>
      </c>
      <c r="J24" s="118">
        <v>0</v>
      </c>
      <c r="K24" s="118">
        <v>14080</v>
      </c>
    </row>
    <row r="25" spans="1:11" ht="18" customHeight="1" x14ac:dyDescent="0.2">
      <c r="A25" s="435" t="s">
        <v>79</v>
      </c>
      <c r="B25" s="259" t="s">
        <v>5</v>
      </c>
      <c r="F25" s="221">
        <v>574</v>
      </c>
      <c r="G25" s="221">
        <v>1789</v>
      </c>
      <c r="H25" s="118">
        <v>22945</v>
      </c>
      <c r="I25" s="133">
        <v>18165</v>
      </c>
      <c r="J25" s="118">
        <v>22195</v>
      </c>
      <c r="K25" s="118">
        <v>18915</v>
      </c>
    </row>
    <row r="26" spans="1:11" ht="18" customHeight="1" x14ac:dyDescent="0.2">
      <c r="A26" s="435" t="s">
        <v>80</v>
      </c>
      <c r="B26" s="259" t="s">
        <v>45</v>
      </c>
      <c r="F26" s="221"/>
      <c r="G26" s="221"/>
      <c r="H26" s="118"/>
      <c r="I26" s="133">
        <f>H26*F$114</f>
        <v>0</v>
      </c>
      <c r="J26" s="118"/>
      <c r="K26" s="118">
        <f t="shared" ref="K26:K34" si="0">(H26+I26)-J26</f>
        <v>0</v>
      </c>
    </row>
    <row r="27" spans="1:11" ht="18" customHeight="1" x14ac:dyDescent="0.2">
      <c r="A27" s="435" t="s">
        <v>81</v>
      </c>
      <c r="B27" s="259" t="s">
        <v>536</v>
      </c>
      <c r="F27" s="221"/>
      <c r="G27" s="221"/>
      <c r="H27" s="118"/>
      <c r="I27" s="133">
        <f>H27*F$114</f>
        <v>0</v>
      </c>
      <c r="J27" s="118"/>
      <c r="K27" s="118">
        <f t="shared" si="0"/>
        <v>0</v>
      </c>
    </row>
    <row r="28" spans="1:11" ht="18" customHeight="1" x14ac:dyDescent="0.2">
      <c r="A28" s="435" t="s">
        <v>82</v>
      </c>
      <c r="B28" s="259" t="s">
        <v>47</v>
      </c>
      <c r="F28" s="221">
        <v>364.5</v>
      </c>
      <c r="G28" s="221">
        <v>321</v>
      </c>
      <c r="H28" s="118">
        <v>12963</v>
      </c>
      <c r="I28" s="133">
        <v>10276</v>
      </c>
      <c r="J28" s="118">
        <v>0</v>
      </c>
      <c r="K28" s="118">
        <v>23239</v>
      </c>
    </row>
    <row r="29" spans="1:11" ht="18" customHeight="1" x14ac:dyDescent="0.2">
      <c r="A29" s="435" t="s">
        <v>83</v>
      </c>
      <c r="B29" s="259" t="s">
        <v>48</v>
      </c>
      <c r="F29" s="221">
        <v>330</v>
      </c>
      <c r="G29" s="221">
        <v>1960</v>
      </c>
      <c r="H29" s="118">
        <v>219677</v>
      </c>
      <c r="I29" s="133">
        <v>174032</v>
      </c>
      <c r="J29" s="118">
        <v>0</v>
      </c>
      <c r="K29" s="118">
        <v>393709</v>
      </c>
    </row>
    <row r="30" spans="1:11" ht="18" customHeight="1" x14ac:dyDescent="0.2">
      <c r="A30" s="435" t="s">
        <v>84</v>
      </c>
      <c r="B30" s="456"/>
      <c r="C30" s="457"/>
      <c r="D30" s="458"/>
      <c r="F30" s="221"/>
      <c r="G30" s="221"/>
      <c r="H30" s="118"/>
      <c r="I30" s="133">
        <f>H30*F$114</f>
        <v>0</v>
      </c>
      <c r="J30" s="118"/>
      <c r="K30" s="118">
        <f t="shared" si="0"/>
        <v>0</v>
      </c>
    </row>
    <row r="31" spans="1:11" ht="18" customHeight="1" x14ac:dyDescent="0.2">
      <c r="A31" s="435" t="s">
        <v>133</v>
      </c>
      <c r="B31" s="456"/>
      <c r="C31" s="457"/>
      <c r="D31" s="458"/>
      <c r="F31" s="221"/>
      <c r="G31" s="221"/>
      <c r="H31" s="118"/>
      <c r="I31" s="133">
        <f>H31*F$114</f>
        <v>0</v>
      </c>
      <c r="J31" s="118"/>
      <c r="K31" s="118">
        <f t="shared" si="0"/>
        <v>0</v>
      </c>
    </row>
    <row r="32" spans="1:11" ht="18" customHeight="1" x14ac:dyDescent="0.2">
      <c r="A32" s="435" t="s">
        <v>134</v>
      </c>
      <c r="B32" s="459"/>
      <c r="C32" s="460"/>
      <c r="D32" s="461"/>
      <c r="F32" s="221"/>
      <c r="G32" s="255" t="s">
        <v>85</v>
      </c>
      <c r="H32" s="118"/>
      <c r="I32" s="133">
        <f>H32*F$114</f>
        <v>0</v>
      </c>
      <c r="J32" s="118"/>
      <c r="K32" s="118">
        <f t="shared" si="0"/>
        <v>0</v>
      </c>
    </row>
    <row r="33" spans="1:11" ht="18" customHeight="1" x14ac:dyDescent="0.2">
      <c r="A33" s="435" t="s">
        <v>135</v>
      </c>
      <c r="B33" s="459"/>
      <c r="C33" s="460"/>
      <c r="D33" s="461"/>
      <c r="F33" s="221"/>
      <c r="G33" s="255" t="s">
        <v>85</v>
      </c>
      <c r="H33" s="118"/>
      <c r="I33" s="133">
        <f>H33*F$114</f>
        <v>0</v>
      </c>
      <c r="J33" s="118"/>
      <c r="K33" s="118">
        <f t="shared" si="0"/>
        <v>0</v>
      </c>
    </row>
    <row r="34" spans="1:11" ht="18" customHeight="1" x14ac:dyDescent="0.2">
      <c r="A34" s="435" t="s">
        <v>136</v>
      </c>
      <c r="B34" s="456"/>
      <c r="C34" s="457"/>
      <c r="D34" s="458"/>
      <c r="F34" s="221"/>
      <c r="G34" s="255" t="s">
        <v>85</v>
      </c>
      <c r="H34" s="118"/>
      <c r="I34" s="133">
        <f>H34*F$114</f>
        <v>0</v>
      </c>
      <c r="J34" s="118"/>
      <c r="K34" s="118">
        <f t="shared" si="0"/>
        <v>0</v>
      </c>
    </row>
    <row r="35" spans="1:11" ht="18" customHeight="1" x14ac:dyDescent="0.2">
      <c r="K35" s="406"/>
    </row>
    <row r="36" spans="1:11" ht="18" customHeight="1" x14ac:dyDescent="0.2">
      <c r="A36" s="455" t="s">
        <v>137</v>
      </c>
      <c r="B36" s="421" t="s">
        <v>138</v>
      </c>
      <c r="E36" s="421" t="s">
        <v>7</v>
      </c>
      <c r="F36" s="221">
        <f t="shared" ref="F36:K36" si="1">SUM(F21:F34)</f>
        <v>5208.5</v>
      </c>
      <c r="G36" s="221">
        <f t="shared" si="1"/>
        <v>7144</v>
      </c>
      <c r="H36" s="221">
        <f t="shared" si="1"/>
        <v>765415</v>
      </c>
      <c r="I36" s="118">
        <f t="shared" si="1"/>
        <v>529852</v>
      </c>
      <c r="J36" s="118">
        <f t="shared" si="1"/>
        <v>22500</v>
      </c>
      <c r="K36" s="118">
        <f t="shared" si="1"/>
        <v>1272767</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2">(H40+I40)-J40</f>
        <v>0</v>
      </c>
    </row>
    <row r="41" spans="1:11" ht="18" customHeight="1" x14ac:dyDescent="0.2">
      <c r="A41" s="435" t="s">
        <v>88</v>
      </c>
      <c r="B41" s="465" t="s">
        <v>50</v>
      </c>
      <c r="C41" s="466"/>
      <c r="F41" s="221"/>
      <c r="G41" s="221"/>
      <c r="H41" s="118"/>
      <c r="I41" s="133">
        <v>0</v>
      </c>
      <c r="J41" s="118"/>
      <c r="K41" s="118">
        <f t="shared" si="2"/>
        <v>0</v>
      </c>
    </row>
    <row r="42" spans="1:11" ht="18" customHeight="1" x14ac:dyDescent="0.2">
      <c r="A42" s="435" t="s">
        <v>89</v>
      </c>
      <c r="B42" s="419" t="s">
        <v>11</v>
      </c>
      <c r="F42" s="221">
        <v>48</v>
      </c>
      <c r="G42" s="221">
        <v>198</v>
      </c>
      <c r="H42" s="118">
        <v>1752</v>
      </c>
      <c r="I42" s="133">
        <v>1392</v>
      </c>
      <c r="J42" s="118">
        <v>0</v>
      </c>
      <c r="K42" s="118">
        <v>3144</v>
      </c>
    </row>
    <row r="43" spans="1:11" ht="18" customHeight="1" x14ac:dyDescent="0.2">
      <c r="A43" s="435" t="s">
        <v>90</v>
      </c>
      <c r="B43" s="467" t="s">
        <v>10</v>
      </c>
      <c r="C43" s="468"/>
      <c r="D43" s="468"/>
      <c r="F43" s="221"/>
      <c r="G43" s="221"/>
      <c r="H43" s="118"/>
      <c r="I43" s="133">
        <v>0</v>
      </c>
      <c r="J43" s="118"/>
      <c r="K43" s="118">
        <f t="shared" si="2"/>
        <v>0</v>
      </c>
    </row>
    <row r="44" spans="1:11" ht="18" customHeight="1" x14ac:dyDescent="0.2">
      <c r="A44" s="435" t="s">
        <v>91</v>
      </c>
      <c r="B44" s="456" t="s">
        <v>628</v>
      </c>
      <c r="C44" s="457"/>
      <c r="D44" s="458"/>
      <c r="F44" s="407">
        <v>13268</v>
      </c>
      <c r="G44" s="407">
        <v>259</v>
      </c>
      <c r="H44" s="407">
        <v>620396</v>
      </c>
      <c r="I44" s="408">
        <v>0</v>
      </c>
      <c r="J44" s="407">
        <v>0</v>
      </c>
      <c r="K44" s="134">
        <v>620396</v>
      </c>
    </row>
    <row r="45" spans="1:11" ht="18" customHeight="1" x14ac:dyDescent="0.2">
      <c r="A45" s="435" t="s">
        <v>139</v>
      </c>
      <c r="B45" s="456"/>
      <c r="C45" s="457"/>
      <c r="D45" s="458"/>
      <c r="F45" s="221"/>
      <c r="G45" s="221"/>
      <c r="H45" s="118"/>
      <c r="I45" s="133">
        <v>0</v>
      </c>
      <c r="J45" s="118"/>
      <c r="K45" s="118">
        <f t="shared" si="2"/>
        <v>0</v>
      </c>
    </row>
    <row r="46" spans="1:11" ht="18" customHeight="1" x14ac:dyDescent="0.2">
      <c r="A46" s="435" t="s">
        <v>140</v>
      </c>
      <c r="B46" s="456"/>
      <c r="C46" s="457"/>
      <c r="D46" s="458"/>
      <c r="F46" s="221"/>
      <c r="G46" s="221"/>
      <c r="H46" s="118"/>
      <c r="I46" s="133">
        <v>0</v>
      </c>
      <c r="J46" s="118"/>
      <c r="K46" s="118">
        <f t="shared" si="2"/>
        <v>0</v>
      </c>
    </row>
    <row r="47" spans="1:11" ht="18" customHeight="1" x14ac:dyDescent="0.2">
      <c r="A47" s="435" t="s">
        <v>141</v>
      </c>
      <c r="B47" s="456"/>
      <c r="C47" s="457"/>
      <c r="D47" s="458"/>
      <c r="F47" s="221"/>
      <c r="G47" s="221"/>
      <c r="H47" s="118"/>
      <c r="I47" s="133">
        <v>0</v>
      </c>
      <c r="J47" s="118"/>
      <c r="K47" s="118">
        <f t="shared" si="2"/>
        <v>0</v>
      </c>
    </row>
    <row r="49" spans="1:11" ht="18" customHeight="1" x14ac:dyDescent="0.2">
      <c r="A49" s="455" t="s">
        <v>142</v>
      </c>
      <c r="B49" s="421" t="s">
        <v>143</v>
      </c>
      <c r="E49" s="421" t="s">
        <v>7</v>
      </c>
      <c r="F49" s="409">
        <f t="shared" ref="F49:K49" si="3">SUM(F40:F47)</f>
        <v>13316</v>
      </c>
      <c r="G49" s="409">
        <f t="shared" si="3"/>
        <v>457</v>
      </c>
      <c r="H49" s="118">
        <f t="shared" si="3"/>
        <v>622148</v>
      </c>
      <c r="I49" s="118">
        <f t="shared" si="3"/>
        <v>1392</v>
      </c>
      <c r="J49" s="118">
        <f t="shared" si="3"/>
        <v>0</v>
      </c>
      <c r="K49" s="118">
        <f t="shared" si="3"/>
        <v>623540</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570</v>
      </c>
      <c r="C53" s="411"/>
      <c r="D53" s="412"/>
      <c r="F53" s="221">
        <v>42113</v>
      </c>
      <c r="G53" s="221">
        <v>28076</v>
      </c>
      <c r="H53" s="118">
        <v>3406809</v>
      </c>
      <c r="I53" s="133">
        <v>1577012</v>
      </c>
      <c r="J53" s="118">
        <v>3193983</v>
      </c>
      <c r="K53" s="118">
        <f t="shared" ref="K53:K62" si="4">(H53+I53)-J53</f>
        <v>1789838</v>
      </c>
    </row>
    <row r="54" spans="1:11" ht="18" customHeight="1" x14ac:dyDescent="0.2">
      <c r="A54" s="435" t="s">
        <v>93</v>
      </c>
      <c r="B54" s="420" t="s">
        <v>571</v>
      </c>
      <c r="C54" s="414"/>
      <c r="D54" s="415"/>
      <c r="F54" s="221">
        <v>7881</v>
      </c>
      <c r="G54" s="221">
        <v>2593</v>
      </c>
      <c r="H54" s="118">
        <v>693628</v>
      </c>
      <c r="I54" s="133">
        <v>321080</v>
      </c>
      <c r="J54" s="118">
        <v>80045</v>
      </c>
      <c r="K54" s="118">
        <f t="shared" si="4"/>
        <v>934663</v>
      </c>
    </row>
    <row r="55" spans="1:11" ht="18" customHeight="1" x14ac:dyDescent="0.2">
      <c r="A55" s="435" t="s">
        <v>94</v>
      </c>
      <c r="B55" s="420" t="s">
        <v>629</v>
      </c>
      <c r="C55" s="414"/>
      <c r="D55" s="415"/>
      <c r="F55" s="221">
        <v>56882</v>
      </c>
      <c r="G55" s="221">
        <v>25538</v>
      </c>
      <c r="H55" s="118">
        <v>2403693</v>
      </c>
      <c r="I55" s="133">
        <v>809564</v>
      </c>
      <c r="J55" s="118">
        <v>1953535</v>
      </c>
      <c r="K55" s="118">
        <f t="shared" si="4"/>
        <v>1259722</v>
      </c>
    </row>
    <row r="56" spans="1:11" ht="18" customHeight="1" x14ac:dyDescent="0.2">
      <c r="A56" s="435" t="s">
        <v>95</v>
      </c>
      <c r="B56" s="418" t="s">
        <v>630</v>
      </c>
      <c r="C56" s="417"/>
      <c r="D56" s="412"/>
      <c r="F56" s="221">
        <v>16714</v>
      </c>
      <c r="G56" s="221">
        <v>108</v>
      </c>
      <c r="H56" s="118">
        <v>909112</v>
      </c>
      <c r="I56" s="133">
        <v>420828</v>
      </c>
      <c r="J56" s="118">
        <v>633335</v>
      </c>
      <c r="K56" s="118">
        <f t="shared" si="4"/>
        <v>696605</v>
      </c>
    </row>
    <row r="57" spans="1:11" ht="18" customHeight="1" x14ac:dyDescent="0.2">
      <c r="A57" s="435" t="s">
        <v>96</v>
      </c>
      <c r="B57" s="418" t="s">
        <v>572</v>
      </c>
      <c r="C57" s="417"/>
      <c r="D57" s="412"/>
      <c r="F57" s="221">
        <v>8195</v>
      </c>
      <c r="G57" s="221">
        <v>0</v>
      </c>
      <c r="H57" s="118">
        <v>914146</v>
      </c>
      <c r="I57" s="133">
        <v>423158</v>
      </c>
      <c r="J57" s="118">
        <v>69128</v>
      </c>
      <c r="K57" s="118">
        <f t="shared" si="4"/>
        <v>1268176</v>
      </c>
    </row>
    <row r="58" spans="1:11" ht="18" customHeight="1" x14ac:dyDescent="0.2">
      <c r="A58" s="435" t="s">
        <v>97</v>
      </c>
      <c r="B58" s="418" t="s">
        <v>631</v>
      </c>
      <c r="C58" s="417"/>
      <c r="D58" s="412"/>
      <c r="F58" s="221">
        <v>0</v>
      </c>
      <c r="G58" s="221">
        <v>0</v>
      </c>
      <c r="H58" s="118">
        <v>1914954</v>
      </c>
      <c r="I58" s="133">
        <v>886432</v>
      </c>
      <c r="J58" s="118">
        <v>0</v>
      </c>
      <c r="K58" s="118">
        <f t="shared" si="4"/>
        <v>2801386</v>
      </c>
    </row>
    <row r="59" spans="1:11" ht="18" customHeight="1" x14ac:dyDescent="0.2">
      <c r="A59" s="435" t="s">
        <v>98</v>
      </c>
      <c r="B59" s="420" t="s">
        <v>573</v>
      </c>
      <c r="C59" s="414"/>
      <c r="D59" s="415"/>
      <c r="F59" s="221">
        <v>0</v>
      </c>
      <c r="G59" s="221">
        <v>0</v>
      </c>
      <c r="H59" s="118">
        <v>68735</v>
      </c>
      <c r="I59" s="133">
        <v>31817</v>
      </c>
      <c r="J59" s="118">
        <v>0</v>
      </c>
      <c r="K59" s="118">
        <f t="shared" si="4"/>
        <v>100552</v>
      </c>
    </row>
    <row r="60" spans="1:11" ht="18" customHeight="1" x14ac:dyDescent="0.2">
      <c r="A60" s="435" t="s">
        <v>99</v>
      </c>
      <c r="B60" s="418" t="s">
        <v>574</v>
      </c>
      <c r="C60" s="417"/>
      <c r="D60" s="412"/>
      <c r="F60" s="221">
        <v>0</v>
      </c>
      <c r="G60" s="221">
        <v>0</v>
      </c>
      <c r="H60" s="118">
        <v>1200</v>
      </c>
      <c r="I60" s="133">
        <v>555</v>
      </c>
      <c r="J60" s="118">
        <v>0</v>
      </c>
      <c r="K60" s="118">
        <f t="shared" si="4"/>
        <v>1755</v>
      </c>
    </row>
    <row r="61" spans="1:11" ht="18" customHeight="1" x14ac:dyDescent="0.2">
      <c r="A61" s="435" t="s">
        <v>100</v>
      </c>
      <c r="B61" s="420" t="s">
        <v>632</v>
      </c>
      <c r="C61" s="414"/>
      <c r="D61" s="415"/>
      <c r="F61" s="221">
        <v>0</v>
      </c>
      <c r="G61" s="221">
        <v>0</v>
      </c>
      <c r="H61" s="118">
        <v>1081589</v>
      </c>
      <c r="I61" s="133">
        <v>500667</v>
      </c>
      <c r="J61" s="118">
        <v>348384</v>
      </c>
      <c r="K61" s="118">
        <f t="shared" si="4"/>
        <v>1233872</v>
      </c>
    </row>
    <row r="62" spans="1:11" ht="18" customHeight="1" x14ac:dyDescent="0.2">
      <c r="A62" s="435" t="s">
        <v>101</v>
      </c>
      <c r="B62" s="418"/>
      <c r="C62" s="417"/>
      <c r="D62" s="412"/>
      <c r="F62" s="221"/>
      <c r="G62" s="221"/>
      <c r="H62" s="118"/>
      <c r="I62" s="133">
        <v>0</v>
      </c>
      <c r="J62" s="118"/>
      <c r="K62" s="118">
        <f t="shared" si="4"/>
        <v>0</v>
      </c>
    </row>
    <row r="63" spans="1:11" ht="18" customHeight="1" x14ac:dyDescent="0.2">
      <c r="A63" s="435"/>
      <c r="I63" s="129"/>
    </row>
    <row r="64" spans="1:11" ht="18" customHeight="1" x14ac:dyDescent="0.2">
      <c r="A64" s="435" t="s">
        <v>144</v>
      </c>
      <c r="B64" s="421" t="s">
        <v>145</v>
      </c>
      <c r="E64" s="421" t="s">
        <v>7</v>
      </c>
      <c r="F64" s="221">
        <f t="shared" ref="F64:K64" si="5">SUM(F53:F62)</f>
        <v>131785</v>
      </c>
      <c r="G64" s="221">
        <f t="shared" si="5"/>
        <v>56315</v>
      </c>
      <c r="H64" s="118">
        <f t="shared" si="5"/>
        <v>11393866</v>
      </c>
      <c r="I64" s="118">
        <f t="shared" si="5"/>
        <v>4971113</v>
      </c>
      <c r="J64" s="118">
        <f t="shared" si="5"/>
        <v>6278410</v>
      </c>
      <c r="K64" s="118">
        <f t="shared" si="5"/>
        <v>10086569</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6">SUM(F68:F72)</f>
        <v>0</v>
      </c>
      <c r="G74" s="122">
        <f t="shared" si="6"/>
        <v>0</v>
      </c>
      <c r="H74" s="122">
        <f t="shared" si="6"/>
        <v>0</v>
      </c>
      <c r="I74" s="133">
        <f t="shared" si="6"/>
        <v>0</v>
      </c>
      <c r="J74" s="122">
        <f t="shared" si="6"/>
        <v>0</v>
      </c>
      <c r="K74" s="118">
        <f t="shared" si="6"/>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60</v>
      </c>
      <c r="G79" s="221">
        <v>576</v>
      </c>
      <c r="H79" s="118">
        <v>41030</v>
      </c>
      <c r="I79" s="133">
        <v>12450</v>
      </c>
      <c r="J79" s="118">
        <v>0</v>
      </c>
      <c r="K79" s="118">
        <v>53480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7">SUM(F77:F80)</f>
        <v>60</v>
      </c>
      <c r="G82" s="122">
        <f t="shared" si="7"/>
        <v>576</v>
      </c>
      <c r="H82" s="118">
        <f t="shared" si="7"/>
        <v>41030</v>
      </c>
      <c r="I82" s="118">
        <f t="shared" si="7"/>
        <v>12450</v>
      </c>
      <c r="J82" s="118">
        <f t="shared" si="7"/>
        <v>0</v>
      </c>
      <c r="K82" s="118">
        <f t="shared" si="7"/>
        <v>53480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8">H86*F$114</f>
        <v>0</v>
      </c>
      <c r="J86" s="118"/>
      <c r="K86" s="118">
        <f t="shared" ref="K86:K96" si="9">(H86+I86)-J86</f>
        <v>0</v>
      </c>
    </row>
    <row r="87" spans="1:11" ht="18" customHeight="1" x14ac:dyDescent="0.2">
      <c r="A87" s="435" t="s">
        <v>114</v>
      </c>
      <c r="B87" s="419" t="s">
        <v>14</v>
      </c>
      <c r="F87" s="221"/>
      <c r="G87" s="221"/>
      <c r="H87" s="118"/>
      <c r="I87" s="133">
        <f t="shared" si="8"/>
        <v>0</v>
      </c>
      <c r="J87" s="118"/>
      <c r="K87" s="118">
        <f t="shared" si="9"/>
        <v>0</v>
      </c>
    </row>
    <row r="88" spans="1:11" ht="18" customHeight="1" x14ac:dyDescent="0.2">
      <c r="A88" s="435" t="s">
        <v>115</v>
      </c>
      <c r="B88" s="419" t="s">
        <v>116</v>
      </c>
      <c r="F88" s="221">
        <v>282</v>
      </c>
      <c r="G88" s="221">
        <v>132</v>
      </c>
      <c r="H88" s="118">
        <v>12641</v>
      </c>
      <c r="I88" s="133">
        <v>5644</v>
      </c>
      <c r="J88" s="118">
        <v>0</v>
      </c>
      <c r="K88" s="118">
        <v>18285</v>
      </c>
    </row>
    <row r="89" spans="1:11" ht="18" customHeight="1" x14ac:dyDescent="0.2">
      <c r="A89" s="435" t="s">
        <v>117</v>
      </c>
      <c r="B89" s="419" t="s">
        <v>58</v>
      </c>
      <c r="F89" s="221"/>
      <c r="G89" s="221"/>
      <c r="H89" s="118"/>
      <c r="I89" s="133">
        <f t="shared" si="8"/>
        <v>0</v>
      </c>
      <c r="J89" s="118"/>
      <c r="K89" s="118">
        <f t="shared" si="9"/>
        <v>0</v>
      </c>
    </row>
    <row r="90" spans="1:11" ht="18" customHeight="1" x14ac:dyDescent="0.2">
      <c r="A90" s="435" t="s">
        <v>118</v>
      </c>
      <c r="B90" s="465" t="s">
        <v>59</v>
      </c>
      <c r="C90" s="466"/>
      <c r="F90" s="221">
        <v>14</v>
      </c>
      <c r="G90" s="221">
        <v>0</v>
      </c>
      <c r="H90" s="118">
        <v>595</v>
      </c>
      <c r="I90" s="133">
        <v>471</v>
      </c>
      <c r="J90" s="118">
        <v>0</v>
      </c>
      <c r="K90" s="118">
        <v>1066</v>
      </c>
    </row>
    <row r="91" spans="1:11" ht="18" customHeight="1" x14ac:dyDescent="0.2">
      <c r="A91" s="435" t="s">
        <v>119</v>
      </c>
      <c r="B91" s="419" t="s">
        <v>60</v>
      </c>
      <c r="F91" s="221">
        <v>534.5</v>
      </c>
      <c r="G91" s="221">
        <v>806</v>
      </c>
      <c r="H91" s="118">
        <v>53614</v>
      </c>
      <c r="I91" s="133">
        <v>42460</v>
      </c>
      <c r="J91" s="118">
        <v>0</v>
      </c>
      <c r="K91" s="118">
        <v>96074</v>
      </c>
    </row>
    <row r="92" spans="1:11" ht="18" customHeight="1" x14ac:dyDescent="0.2">
      <c r="A92" s="435" t="s">
        <v>120</v>
      </c>
      <c r="B92" s="419" t="s">
        <v>121</v>
      </c>
      <c r="F92" s="257">
        <v>1017</v>
      </c>
      <c r="G92" s="257">
        <v>651</v>
      </c>
      <c r="H92" s="429">
        <v>53760</v>
      </c>
      <c r="I92" s="133">
        <v>42581</v>
      </c>
      <c r="J92" s="429">
        <v>0</v>
      </c>
      <c r="K92" s="118">
        <v>96341</v>
      </c>
    </row>
    <row r="93" spans="1:11" ht="18" customHeight="1" x14ac:dyDescent="0.2">
      <c r="A93" s="435" t="s">
        <v>122</v>
      </c>
      <c r="B93" s="419" t="s">
        <v>123</v>
      </c>
      <c r="F93" s="221"/>
      <c r="G93" s="221"/>
      <c r="H93" s="118"/>
      <c r="I93" s="133">
        <f t="shared" si="8"/>
        <v>0</v>
      </c>
      <c r="J93" s="118"/>
      <c r="K93" s="118">
        <f t="shared" si="9"/>
        <v>0</v>
      </c>
    </row>
    <row r="94" spans="1:11" ht="18" customHeight="1" x14ac:dyDescent="0.2">
      <c r="A94" s="435" t="s">
        <v>124</v>
      </c>
      <c r="B94" s="418"/>
      <c r="C94" s="417"/>
      <c r="D94" s="412"/>
      <c r="F94" s="221"/>
      <c r="G94" s="221"/>
      <c r="H94" s="118"/>
      <c r="I94" s="133">
        <f t="shared" si="8"/>
        <v>0</v>
      </c>
      <c r="J94" s="118"/>
      <c r="K94" s="118">
        <f t="shared" si="9"/>
        <v>0</v>
      </c>
    </row>
    <row r="95" spans="1:11" ht="18" customHeight="1" x14ac:dyDescent="0.2">
      <c r="A95" s="435" t="s">
        <v>125</v>
      </c>
      <c r="B95" s="418"/>
      <c r="C95" s="417"/>
      <c r="D95" s="412"/>
      <c r="F95" s="221"/>
      <c r="G95" s="221"/>
      <c r="H95" s="118"/>
      <c r="I95" s="133">
        <f t="shared" si="8"/>
        <v>0</v>
      </c>
      <c r="J95" s="118"/>
      <c r="K95" s="118">
        <f t="shared" si="9"/>
        <v>0</v>
      </c>
    </row>
    <row r="96" spans="1:11" ht="18" customHeight="1" x14ac:dyDescent="0.2">
      <c r="A96" s="435" t="s">
        <v>126</v>
      </c>
      <c r="B96" s="418"/>
      <c r="C96" s="417"/>
      <c r="D96" s="412"/>
      <c r="F96" s="221"/>
      <c r="G96" s="221"/>
      <c r="H96" s="118"/>
      <c r="I96" s="133">
        <f t="shared" si="8"/>
        <v>0</v>
      </c>
      <c r="J96" s="118"/>
      <c r="K96" s="118">
        <f t="shared" si="9"/>
        <v>0</v>
      </c>
    </row>
    <row r="97" spans="1:11" ht="18" customHeight="1" x14ac:dyDescent="0.2">
      <c r="A97" s="435"/>
      <c r="B97" s="419"/>
    </row>
    <row r="98" spans="1:11" ht="18" customHeight="1" x14ac:dyDescent="0.2">
      <c r="A98" s="455" t="s">
        <v>150</v>
      </c>
      <c r="B98" s="421" t="s">
        <v>151</v>
      </c>
      <c r="E98" s="421" t="s">
        <v>7</v>
      </c>
      <c r="F98" s="221">
        <f t="shared" ref="F98:K98" si="10">SUM(F86:F96)</f>
        <v>1847.5</v>
      </c>
      <c r="G98" s="221">
        <f t="shared" si="10"/>
        <v>1589</v>
      </c>
      <c r="H98" s="221">
        <f t="shared" si="10"/>
        <v>120610</v>
      </c>
      <c r="I98" s="221">
        <f t="shared" si="10"/>
        <v>91156</v>
      </c>
      <c r="J98" s="221">
        <f t="shared" si="10"/>
        <v>0</v>
      </c>
      <c r="K98" s="221">
        <f t="shared" si="10"/>
        <v>211766</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324</v>
      </c>
      <c r="G102" s="221">
        <v>0</v>
      </c>
      <c r="H102" s="118">
        <v>7830</v>
      </c>
      <c r="I102" s="133">
        <v>6202</v>
      </c>
      <c r="J102" s="118">
        <v>0</v>
      </c>
      <c r="K102" s="118">
        <v>14032</v>
      </c>
    </row>
    <row r="103" spans="1:11" ht="18" customHeight="1" x14ac:dyDescent="0.2">
      <c r="A103" s="435" t="s">
        <v>132</v>
      </c>
      <c r="B103" s="465" t="s">
        <v>62</v>
      </c>
      <c r="C103" s="465"/>
      <c r="F103" s="221">
        <v>52</v>
      </c>
      <c r="G103" s="221">
        <v>0</v>
      </c>
      <c r="H103" s="118">
        <v>38091</v>
      </c>
      <c r="I103" s="133">
        <v>16559</v>
      </c>
      <c r="J103" s="118">
        <v>0</v>
      </c>
      <c r="K103" s="118">
        <v>54650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1">SUM(F102:F106)</f>
        <v>376</v>
      </c>
      <c r="G108" s="221">
        <f t="shared" si="11"/>
        <v>0</v>
      </c>
      <c r="H108" s="118">
        <f t="shared" si="11"/>
        <v>45921</v>
      </c>
      <c r="I108" s="118">
        <f t="shared" si="11"/>
        <v>22761</v>
      </c>
      <c r="J108" s="118">
        <f t="shared" si="11"/>
        <v>0</v>
      </c>
      <c r="K108" s="118">
        <f t="shared" si="11"/>
        <v>68682</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5547029</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0.79210000000000003</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134553728</v>
      </c>
    </row>
    <row r="118" spans="1:6" ht="18" customHeight="1" x14ac:dyDescent="0.2">
      <c r="A118" s="435" t="s">
        <v>173</v>
      </c>
      <c r="B118" s="259" t="s">
        <v>18</v>
      </c>
      <c r="F118" s="118">
        <v>3219293</v>
      </c>
    </row>
    <row r="119" spans="1:6" ht="18" customHeight="1" x14ac:dyDescent="0.2">
      <c r="A119" s="435" t="s">
        <v>174</v>
      </c>
      <c r="B119" s="421" t="s">
        <v>19</v>
      </c>
      <c r="F119" s="118">
        <f>SUM(F117:F118)</f>
        <v>137773021</v>
      </c>
    </row>
    <row r="120" spans="1:6" ht="18" customHeight="1" x14ac:dyDescent="0.2">
      <c r="A120" s="435"/>
      <c r="B120" s="421"/>
    </row>
    <row r="121" spans="1:6" ht="18" customHeight="1" x14ac:dyDescent="0.2">
      <c r="A121" s="435" t="s">
        <v>167</v>
      </c>
      <c r="B121" s="421" t="s">
        <v>36</v>
      </c>
      <c r="F121" s="118">
        <v>131906976</v>
      </c>
    </row>
    <row r="122" spans="1:6" ht="18" customHeight="1" x14ac:dyDescent="0.2">
      <c r="A122" s="435"/>
    </row>
    <row r="123" spans="1:6" ht="18" customHeight="1" x14ac:dyDescent="0.2">
      <c r="A123" s="435" t="s">
        <v>175</v>
      </c>
      <c r="B123" s="421" t="s">
        <v>20</v>
      </c>
      <c r="F123" s="118">
        <v>5866045</v>
      </c>
    </row>
    <row r="124" spans="1:6" ht="18" customHeight="1" x14ac:dyDescent="0.2">
      <c r="A124" s="435"/>
    </row>
    <row r="125" spans="1:6" ht="18" customHeight="1" x14ac:dyDescent="0.2">
      <c r="A125" s="435" t="s">
        <v>176</v>
      </c>
      <c r="B125" s="421" t="s">
        <v>21</v>
      </c>
      <c r="F125" s="118">
        <v>-2550020</v>
      </c>
    </row>
    <row r="126" spans="1:6" ht="18" customHeight="1" x14ac:dyDescent="0.2">
      <c r="A126" s="435"/>
    </row>
    <row r="127" spans="1:6" ht="18" customHeight="1" x14ac:dyDescent="0.2">
      <c r="A127" s="435" t="s">
        <v>177</v>
      </c>
      <c r="B127" s="421" t="s">
        <v>22</v>
      </c>
      <c r="F127" s="118">
        <v>3316025</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2">SUM(F131:F135)</f>
        <v>0</v>
      </c>
      <c r="G137" s="221">
        <f t="shared" si="12"/>
        <v>0</v>
      </c>
      <c r="H137" s="118">
        <f t="shared" si="12"/>
        <v>0</v>
      </c>
      <c r="I137" s="118">
        <f t="shared" si="12"/>
        <v>0</v>
      </c>
      <c r="J137" s="118">
        <f t="shared" si="12"/>
        <v>0</v>
      </c>
      <c r="K137" s="118">
        <f t="shared" si="12"/>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3">F36</f>
        <v>5208.5</v>
      </c>
      <c r="G141" s="422">
        <f t="shared" si="13"/>
        <v>7144</v>
      </c>
      <c r="H141" s="422">
        <f t="shared" si="13"/>
        <v>765415</v>
      </c>
      <c r="I141" s="422">
        <f t="shared" si="13"/>
        <v>529852</v>
      </c>
      <c r="J141" s="422">
        <f t="shared" si="13"/>
        <v>22500</v>
      </c>
      <c r="K141" s="422">
        <f t="shared" si="13"/>
        <v>1272767</v>
      </c>
    </row>
    <row r="142" spans="1:11" ht="18" customHeight="1" x14ac:dyDescent="0.2">
      <c r="A142" s="435" t="s">
        <v>142</v>
      </c>
      <c r="B142" s="421" t="s">
        <v>65</v>
      </c>
      <c r="F142" s="422">
        <f t="shared" ref="F142:K142" si="14">F49</f>
        <v>13316</v>
      </c>
      <c r="G142" s="422">
        <f t="shared" si="14"/>
        <v>457</v>
      </c>
      <c r="H142" s="422">
        <f t="shared" si="14"/>
        <v>622148</v>
      </c>
      <c r="I142" s="422">
        <f t="shared" si="14"/>
        <v>1392</v>
      </c>
      <c r="J142" s="422">
        <f t="shared" si="14"/>
        <v>0</v>
      </c>
      <c r="K142" s="422">
        <f t="shared" si="14"/>
        <v>623540</v>
      </c>
    </row>
    <row r="143" spans="1:11" ht="18" customHeight="1" x14ac:dyDescent="0.2">
      <c r="A143" s="435" t="s">
        <v>144</v>
      </c>
      <c r="B143" s="421" t="s">
        <v>66</v>
      </c>
      <c r="F143" s="422">
        <f t="shared" ref="F143:K143" si="15">F64</f>
        <v>131785</v>
      </c>
      <c r="G143" s="422">
        <f t="shared" si="15"/>
        <v>56315</v>
      </c>
      <c r="H143" s="422">
        <f t="shared" si="15"/>
        <v>11393866</v>
      </c>
      <c r="I143" s="422">
        <f t="shared" si="15"/>
        <v>4971113</v>
      </c>
      <c r="J143" s="422">
        <f t="shared" si="15"/>
        <v>6278410</v>
      </c>
      <c r="K143" s="422">
        <f t="shared" si="15"/>
        <v>10086569</v>
      </c>
    </row>
    <row r="144" spans="1:11" ht="18" customHeight="1" x14ac:dyDescent="0.2">
      <c r="A144" s="435" t="s">
        <v>146</v>
      </c>
      <c r="B144" s="421" t="s">
        <v>67</v>
      </c>
      <c r="F144" s="422">
        <f t="shared" ref="F144:K144" si="16">F74</f>
        <v>0</v>
      </c>
      <c r="G144" s="422">
        <f t="shared" si="16"/>
        <v>0</v>
      </c>
      <c r="H144" s="422">
        <f t="shared" si="16"/>
        <v>0</v>
      </c>
      <c r="I144" s="422">
        <f t="shared" si="16"/>
        <v>0</v>
      </c>
      <c r="J144" s="422">
        <f t="shared" si="16"/>
        <v>0</v>
      </c>
      <c r="K144" s="422">
        <f t="shared" si="16"/>
        <v>0</v>
      </c>
    </row>
    <row r="145" spans="1:11" ht="18" customHeight="1" x14ac:dyDescent="0.2">
      <c r="A145" s="435" t="s">
        <v>148</v>
      </c>
      <c r="B145" s="421" t="s">
        <v>68</v>
      </c>
      <c r="F145" s="422">
        <f t="shared" ref="F145:K145" si="17">F82</f>
        <v>60</v>
      </c>
      <c r="G145" s="422">
        <f t="shared" si="17"/>
        <v>576</v>
      </c>
      <c r="H145" s="422">
        <f t="shared" si="17"/>
        <v>41030</v>
      </c>
      <c r="I145" s="422">
        <f t="shared" si="17"/>
        <v>12450</v>
      </c>
      <c r="J145" s="422">
        <f t="shared" si="17"/>
        <v>0</v>
      </c>
      <c r="K145" s="422">
        <f t="shared" si="17"/>
        <v>53480</v>
      </c>
    </row>
    <row r="146" spans="1:11" ht="18" customHeight="1" x14ac:dyDescent="0.2">
      <c r="A146" s="435" t="s">
        <v>150</v>
      </c>
      <c r="B146" s="421" t="s">
        <v>69</v>
      </c>
      <c r="F146" s="422">
        <f t="shared" ref="F146:K146" si="18">F98</f>
        <v>1847.5</v>
      </c>
      <c r="G146" s="422">
        <f t="shared" si="18"/>
        <v>1589</v>
      </c>
      <c r="H146" s="422">
        <f t="shared" si="18"/>
        <v>120610</v>
      </c>
      <c r="I146" s="422">
        <f t="shared" si="18"/>
        <v>91156</v>
      </c>
      <c r="J146" s="422">
        <f t="shared" si="18"/>
        <v>0</v>
      </c>
      <c r="K146" s="422">
        <f t="shared" si="18"/>
        <v>211766</v>
      </c>
    </row>
    <row r="147" spans="1:11" ht="18" customHeight="1" x14ac:dyDescent="0.2">
      <c r="A147" s="435" t="s">
        <v>153</v>
      </c>
      <c r="B147" s="421" t="s">
        <v>61</v>
      </c>
      <c r="F147" s="221">
        <f t="shared" ref="F147:K147" si="19">F108</f>
        <v>376</v>
      </c>
      <c r="G147" s="221">
        <f t="shared" si="19"/>
        <v>0</v>
      </c>
      <c r="H147" s="221">
        <f t="shared" si="19"/>
        <v>45921</v>
      </c>
      <c r="I147" s="221">
        <f t="shared" si="19"/>
        <v>22761</v>
      </c>
      <c r="J147" s="221">
        <f t="shared" si="19"/>
        <v>0</v>
      </c>
      <c r="K147" s="221">
        <f t="shared" si="19"/>
        <v>68682</v>
      </c>
    </row>
    <row r="148" spans="1:11" ht="18" customHeight="1" x14ac:dyDescent="0.2">
      <c r="A148" s="435" t="s">
        <v>155</v>
      </c>
      <c r="B148" s="421" t="s">
        <v>70</v>
      </c>
      <c r="F148" s="485" t="s">
        <v>73</v>
      </c>
      <c r="G148" s="485" t="s">
        <v>73</v>
      </c>
      <c r="H148" s="486" t="s">
        <v>73</v>
      </c>
      <c r="I148" s="486" t="s">
        <v>73</v>
      </c>
      <c r="J148" s="486" t="s">
        <v>73</v>
      </c>
      <c r="K148" s="423">
        <f>F111</f>
        <v>5547029</v>
      </c>
    </row>
    <row r="149" spans="1:11" ht="18" customHeight="1" x14ac:dyDescent="0.2">
      <c r="A149" s="435" t="s">
        <v>163</v>
      </c>
      <c r="B149" s="421" t="s">
        <v>71</v>
      </c>
      <c r="F149" s="221">
        <f t="shared" ref="F149:K149" si="20">F137</f>
        <v>0</v>
      </c>
      <c r="G149" s="221">
        <f t="shared" si="20"/>
        <v>0</v>
      </c>
      <c r="H149" s="221">
        <f t="shared" si="20"/>
        <v>0</v>
      </c>
      <c r="I149" s="221">
        <f t="shared" si="20"/>
        <v>0</v>
      </c>
      <c r="J149" s="221">
        <f t="shared" si="20"/>
        <v>0</v>
      </c>
      <c r="K149" s="221">
        <f t="shared" si="20"/>
        <v>0</v>
      </c>
    </row>
    <row r="150" spans="1:11" ht="18" customHeight="1" x14ac:dyDescent="0.2">
      <c r="A150" s="435" t="s">
        <v>185</v>
      </c>
      <c r="B150" s="421" t="s">
        <v>186</v>
      </c>
      <c r="F150" s="485" t="s">
        <v>73</v>
      </c>
      <c r="G150" s="485" t="s">
        <v>73</v>
      </c>
      <c r="H150" s="221">
        <f>H18</f>
        <v>3307374</v>
      </c>
      <c r="I150" s="221">
        <f>I18</f>
        <v>0</v>
      </c>
      <c r="J150" s="221">
        <f>J18</f>
        <v>2795384</v>
      </c>
      <c r="K150" s="221">
        <f>K18</f>
        <v>511990</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1">SUM(F141:F150)</f>
        <v>152593</v>
      </c>
      <c r="G152" s="487">
        <f t="shared" si="21"/>
        <v>66081</v>
      </c>
      <c r="H152" s="487">
        <f t="shared" si="21"/>
        <v>16296364</v>
      </c>
      <c r="I152" s="487">
        <f t="shared" si="21"/>
        <v>5628724</v>
      </c>
      <c r="J152" s="487">
        <f t="shared" si="21"/>
        <v>9096294</v>
      </c>
      <c r="K152" s="487">
        <f t="shared" si="21"/>
        <v>18375823</v>
      </c>
    </row>
    <row r="154" spans="1:11" ht="18" customHeight="1" x14ac:dyDescent="0.2">
      <c r="A154" s="455" t="s">
        <v>168</v>
      </c>
      <c r="B154" s="421" t="s">
        <v>28</v>
      </c>
      <c r="F154" s="140">
        <f>K152/F121</f>
        <v>0.13930895512304065</v>
      </c>
    </row>
    <row r="155" spans="1:11" ht="18" customHeight="1" x14ac:dyDescent="0.2">
      <c r="A155" s="455" t="s">
        <v>169</v>
      </c>
      <c r="B155" s="421" t="s">
        <v>72</v>
      </c>
      <c r="F155" s="140">
        <f>K152/F127</f>
        <v>5.5415212490858785</v>
      </c>
      <c r="G155" s="421"/>
    </row>
    <row r="156" spans="1:11" ht="18" customHeight="1" x14ac:dyDescent="0.2">
      <c r="G156" s="421"/>
    </row>
  </sheetData>
  <sheetProtection algorithmName="SHA-512" hashValue="UeD9bz11PcfMQGWqq8OCkVGtrBRgU+UXWvJkFnxyCi/g8AMfxeD1snIwAgKKvzm/PvXoXfP0RCOfP0O4Q6cFMg==" saltValue="3qGAWpQ7+ywdRrIcg9bLmg==" spinCount="100000" sheet="1" objects="1" scenarios="1"/>
  <mergeCells count="34">
    <mergeCell ref="B103:C103"/>
    <mergeCell ref="B96:D96"/>
    <mergeCell ref="B95:D95"/>
    <mergeCell ref="B94:D94"/>
    <mergeCell ref="B45:D45"/>
    <mergeCell ref="B46:D46"/>
    <mergeCell ref="B47:D47"/>
    <mergeCell ref="D2:H2"/>
    <mergeCell ref="C5:G5"/>
    <mergeCell ref="C6:G6"/>
    <mergeCell ref="C7:G7"/>
    <mergeCell ref="C9:G9"/>
    <mergeCell ref="C10:G10"/>
    <mergeCell ref="B52:C52"/>
    <mergeCell ref="B90:C90"/>
    <mergeCell ref="B53:D53"/>
    <mergeCell ref="B56:D56"/>
    <mergeCell ref="B58:D58"/>
    <mergeCell ref="B60:D60"/>
    <mergeCell ref="B57:D57"/>
    <mergeCell ref="B62:D62"/>
    <mergeCell ref="B34:D34"/>
    <mergeCell ref="C11:G11"/>
    <mergeCell ref="B41:C41"/>
    <mergeCell ref="B44:D44"/>
    <mergeCell ref="B13:H13"/>
    <mergeCell ref="B30:D30"/>
    <mergeCell ref="B31:D31"/>
    <mergeCell ref="B135:D135"/>
    <mergeCell ref="B133:D133"/>
    <mergeCell ref="B104:D104"/>
    <mergeCell ref="B105:D105"/>
    <mergeCell ref="B106:D106"/>
    <mergeCell ref="B134:D134"/>
  </mergeCells>
  <hyperlinks>
    <hyperlink ref="C11" r:id="rId1"/>
  </hyperlinks>
  <printOptions horizontalCentered="1"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56"/>
  <sheetViews>
    <sheetView showGridLines="0" zoomScale="85" zoomScaleNormal="85"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575</v>
      </c>
      <c r="D5" s="437"/>
      <c r="E5" s="437"/>
      <c r="F5" s="437"/>
      <c r="G5" s="438"/>
    </row>
    <row r="6" spans="1:11" ht="18" customHeight="1" x14ac:dyDescent="0.2">
      <c r="B6" s="435" t="s">
        <v>3</v>
      </c>
      <c r="C6" s="439">
        <v>40</v>
      </c>
      <c r="D6" s="440"/>
      <c r="E6" s="440"/>
      <c r="F6" s="440"/>
      <c r="G6" s="441"/>
    </row>
    <row r="7" spans="1:11" ht="18" customHeight="1" x14ac:dyDescent="0.2">
      <c r="B7" s="435" t="s">
        <v>4</v>
      </c>
      <c r="C7" s="492">
        <v>1767</v>
      </c>
      <c r="D7" s="493"/>
      <c r="E7" s="493"/>
      <c r="F7" s="493"/>
      <c r="G7" s="494"/>
    </row>
    <row r="9" spans="1:11" ht="18" customHeight="1" x14ac:dyDescent="0.2">
      <c r="B9" s="435" t="s">
        <v>1</v>
      </c>
      <c r="C9" s="436" t="s">
        <v>321</v>
      </c>
      <c r="D9" s="437"/>
      <c r="E9" s="437"/>
      <c r="F9" s="437"/>
      <c r="G9" s="438"/>
    </row>
    <row r="10" spans="1:11" ht="18" customHeight="1" x14ac:dyDescent="0.2">
      <c r="B10" s="435" t="s">
        <v>2</v>
      </c>
      <c r="C10" s="445" t="s">
        <v>322</v>
      </c>
      <c r="D10" s="446"/>
      <c r="E10" s="446"/>
      <c r="F10" s="446"/>
      <c r="G10" s="447"/>
    </row>
    <row r="11" spans="1:11" ht="18" customHeight="1" x14ac:dyDescent="0.2">
      <c r="B11" s="435" t="s">
        <v>32</v>
      </c>
      <c r="C11" s="495" t="s">
        <v>323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5541670</v>
      </c>
      <c r="I18" s="133">
        <v>0</v>
      </c>
      <c r="J18" s="118">
        <v>4683805</v>
      </c>
      <c r="K18" s="118">
        <f>(H18+I18)-J18</f>
        <v>857865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1191</v>
      </c>
      <c r="G21" s="221">
        <v>561</v>
      </c>
      <c r="H21" s="118">
        <v>35609</v>
      </c>
      <c r="I21" s="133">
        <f t="shared" ref="I21:I34" si="0">H21*F$114</f>
        <v>26005.252699999997</v>
      </c>
      <c r="J21" s="118">
        <v>30568</v>
      </c>
      <c r="K21" s="118">
        <f t="shared" ref="K21:K34" si="1">(H21+I21)-J21</f>
        <v>31046.252699999997</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v>110</v>
      </c>
      <c r="G24" s="221">
        <v>276</v>
      </c>
      <c r="H24" s="118">
        <v>4842</v>
      </c>
      <c r="I24" s="133">
        <f t="shared" si="0"/>
        <v>3536.1125999999999</v>
      </c>
      <c r="J24" s="118"/>
      <c r="K24" s="118">
        <f t="shared" si="1"/>
        <v>8378.1126000000004</v>
      </c>
    </row>
    <row r="25" spans="1:11" ht="18" customHeight="1" x14ac:dyDescent="0.2">
      <c r="A25" s="435" t="s">
        <v>79</v>
      </c>
      <c r="B25" s="259" t="s">
        <v>5</v>
      </c>
      <c r="F25" s="221"/>
      <c r="G25" s="221"/>
      <c r="H25" s="118"/>
      <c r="I25" s="133">
        <f t="shared" si="0"/>
        <v>0</v>
      </c>
      <c r="J25" s="118"/>
      <c r="K25" s="118">
        <f t="shared" si="1"/>
        <v>0</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11450</v>
      </c>
      <c r="G29" s="221">
        <v>499</v>
      </c>
      <c r="H29" s="118">
        <v>1046893</v>
      </c>
      <c r="I29" s="133">
        <f t="shared" si="0"/>
        <v>764545.95789999992</v>
      </c>
      <c r="J29" s="118">
        <v>403927</v>
      </c>
      <c r="K29" s="118">
        <f t="shared" si="1"/>
        <v>1407511.9578999998</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12751</v>
      </c>
      <c r="G36" s="221">
        <f t="shared" si="2"/>
        <v>1336</v>
      </c>
      <c r="H36" s="221">
        <f t="shared" si="2"/>
        <v>1087344</v>
      </c>
      <c r="I36" s="118">
        <f t="shared" si="2"/>
        <v>794087.32319999987</v>
      </c>
      <c r="J36" s="118">
        <f t="shared" si="2"/>
        <v>434495</v>
      </c>
      <c r="K36" s="118">
        <f t="shared" si="2"/>
        <v>1446936.3231999998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f t="shared" ref="I40:I47" si="3">H40*F$114</f>
        <v>0</v>
      </c>
      <c r="J40" s="118"/>
      <c r="K40" s="118">
        <f t="shared" ref="K40:K47" si="4">(H40+I40)-J40</f>
        <v>0</v>
      </c>
    </row>
    <row r="41" spans="1:11" ht="18" customHeight="1" x14ac:dyDescent="0.2">
      <c r="A41" s="435" t="s">
        <v>88</v>
      </c>
      <c r="B41" s="465" t="s">
        <v>50</v>
      </c>
      <c r="C41" s="466"/>
      <c r="F41" s="221">
        <v>2696</v>
      </c>
      <c r="G41" s="221"/>
      <c r="H41" s="118">
        <v>136128</v>
      </c>
      <c r="I41" s="133">
        <f t="shared" si="3"/>
        <v>99414.278399999996</v>
      </c>
      <c r="J41" s="118"/>
      <c r="K41" s="118">
        <f t="shared" si="4"/>
        <v>235542.27840000001</v>
      </c>
    </row>
    <row r="42" spans="1:11" ht="18" customHeight="1" x14ac:dyDescent="0.2">
      <c r="A42" s="435" t="s">
        <v>89</v>
      </c>
      <c r="B42" s="419" t="s">
        <v>11</v>
      </c>
      <c r="F42" s="221">
        <v>16904</v>
      </c>
      <c r="G42" s="221">
        <v>46</v>
      </c>
      <c r="H42" s="118">
        <v>995701</v>
      </c>
      <c r="I42" s="133">
        <f t="shared" si="3"/>
        <v>727160.4402999999</v>
      </c>
      <c r="J42" s="118"/>
      <c r="K42" s="118">
        <f t="shared" si="4"/>
        <v>1722861.4402999999</v>
      </c>
    </row>
    <row r="43" spans="1:11" ht="18" customHeight="1" x14ac:dyDescent="0.2">
      <c r="A43" s="435" t="s">
        <v>90</v>
      </c>
      <c r="B43" s="467" t="s">
        <v>10</v>
      </c>
      <c r="C43" s="468"/>
      <c r="D43" s="468"/>
      <c r="F43" s="221"/>
      <c r="G43" s="221"/>
      <c r="H43" s="118"/>
      <c r="I43" s="133">
        <f t="shared" si="3"/>
        <v>0</v>
      </c>
      <c r="J43" s="118"/>
      <c r="K43" s="118">
        <f t="shared" si="4"/>
        <v>0</v>
      </c>
    </row>
    <row r="44" spans="1:11" ht="18" customHeight="1" x14ac:dyDescent="0.2">
      <c r="A44" s="435" t="s">
        <v>91</v>
      </c>
      <c r="B44" s="456"/>
      <c r="C44" s="457"/>
      <c r="D44" s="458"/>
      <c r="F44" s="407"/>
      <c r="G44" s="407"/>
      <c r="H44" s="407"/>
      <c r="I44" s="133">
        <f t="shared" si="3"/>
        <v>0</v>
      </c>
      <c r="J44" s="407"/>
      <c r="K44" s="134">
        <f t="shared" si="4"/>
        <v>0</v>
      </c>
    </row>
    <row r="45" spans="1:11" ht="18" customHeight="1" x14ac:dyDescent="0.2">
      <c r="A45" s="435" t="s">
        <v>139</v>
      </c>
      <c r="B45" s="456"/>
      <c r="C45" s="457"/>
      <c r="D45" s="458"/>
      <c r="F45" s="221"/>
      <c r="G45" s="221"/>
      <c r="H45" s="118"/>
      <c r="I45" s="133">
        <f t="shared" si="3"/>
        <v>0</v>
      </c>
      <c r="J45" s="118"/>
      <c r="K45" s="118">
        <f t="shared" si="4"/>
        <v>0</v>
      </c>
    </row>
    <row r="46" spans="1:11" ht="18" customHeight="1" x14ac:dyDescent="0.2">
      <c r="A46" s="435" t="s">
        <v>140</v>
      </c>
      <c r="B46" s="456"/>
      <c r="C46" s="457"/>
      <c r="D46" s="458"/>
      <c r="F46" s="221"/>
      <c r="G46" s="221"/>
      <c r="H46" s="118"/>
      <c r="I46" s="133">
        <f t="shared" si="3"/>
        <v>0</v>
      </c>
      <c r="J46" s="118"/>
      <c r="K46" s="118">
        <f t="shared" si="4"/>
        <v>0</v>
      </c>
    </row>
    <row r="47" spans="1:11" ht="18" customHeight="1" x14ac:dyDescent="0.2">
      <c r="A47" s="435" t="s">
        <v>141</v>
      </c>
      <c r="B47" s="456"/>
      <c r="C47" s="457"/>
      <c r="D47" s="458"/>
      <c r="F47" s="221"/>
      <c r="G47" s="221"/>
      <c r="H47" s="118"/>
      <c r="I47" s="133">
        <f t="shared" si="3"/>
        <v>0</v>
      </c>
      <c r="J47" s="118"/>
      <c r="K47" s="118">
        <f t="shared" si="4"/>
        <v>0</v>
      </c>
    </row>
    <row r="49" spans="1:11" ht="18" customHeight="1" x14ac:dyDescent="0.2">
      <c r="A49" s="455" t="s">
        <v>142</v>
      </c>
      <c r="B49" s="421" t="s">
        <v>143</v>
      </c>
      <c r="E49" s="421" t="s">
        <v>7</v>
      </c>
      <c r="F49" s="409">
        <f t="shared" ref="F49:K49" si="5">SUM(F40:F47)</f>
        <v>19600</v>
      </c>
      <c r="G49" s="409">
        <f t="shared" si="5"/>
        <v>46</v>
      </c>
      <c r="H49" s="118">
        <f t="shared" si="5"/>
        <v>1131829</v>
      </c>
      <c r="I49" s="118">
        <f t="shared" si="5"/>
        <v>826574.71869999985</v>
      </c>
      <c r="J49" s="118">
        <f t="shared" si="5"/>
        <v>0</v>
      </c>
      <c r="K49" s="118">
        <f t="shared" si="5"/>
        <v>1958403.7186999999</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517</v>
      </c>
      <c r="C53" s="411"/>
      <c r="D53" s="412"/>
      <c r="F53" s="221"/>
      <c r="G53" s="221"/>
      <c r="H53" s="118">
        <v>1500139</v>
      </c>
      <c r="I53" s="133">
        <f t="shared" ref="I53:I62" si="6">H53*F$114</f>
        <v>1095551.5116999999</v>
      </c>
      <c r="J53" s="118"/>
      <c r="K53" s="118">
        <f t="shared" ref="K53:K62" si="7">(H53+I53)-J53</f>
        <v>2595690.5116999997</v>
      </c>
    </row>
    <row r="54" spans="1:11" ht="18" customHeight="1" x14ac:dyDescent="0.2">
      <c r="A54" s="435" t="s">
        <v>93</v>
      </c>
      <c r="B54" s="420" t="s">
        <v>547</v>
      </c>
      <c r="C54" s="414"/>
      <c r="D54" s="415"/>
      <c r="F54" s="221"/>
      <c r="G54" s="221"/>
      <c r="H54" s="118">
        <v>97888</v>
      </c>
      <c r="I54" s="133">
        <f t="shared" si="6"/>
        <v>71487.60639999999</v>
      </c>
      <c r="J54" s="118"/>
      <c r="K54" s="118">
        <f t="shared" si="7"/>
        <v>169375.60639999999</v>
      </c>
    </row>
    <row r="55" spans="1:11" ht="18" customHeight="1" x14ac:dyDescent="0.2">
      <c r="A55" s="435" t="s">
        <v>94</v>
      </c>
      <c r="B55" s="418" t="s">
        <v>345</v>
      </c>
      <c r="C55" s="417"/>
      <c r="D55" s="412"/>
      <c r="F55" s="221"/>
      <c r="G55" s="221"/>
      <c r="H55" s="118">
        <v>4529139</v>
      </c>
      <c r="I55" s="133">
        <f t="shared" si="6"/>
        <v>3307630.2116999999</v>
      </c>
      <c r="J55" s="118">
        <v>3823678</v>
      </c>
      <c r="K55" s="118">
        <f t="shared" si="7"/>
        <v>4013091.2116999999</v>
      </c>
    </row>
    <row r="56" spans="1:11" ht="18" customHeight="1" x14ac:dyDescent="0.2">
      <c r="A56" s="435" t="s">
        <v>95</v>
      </c>
      <c r="B56" s="418" t="s">
        <v>338</v>
      </c>
      <c r="C56" s="417"/>
      <c r="D56" s="412"/>
      <c r="F56" s="221"/>
      <c r="G56" s="221"/>
      <c r="H56" s="118">
        <v>24314</v>
      </c>
      <c r="I56" s="133">
        <f t="shared" si="6"/>
        <v>17756.514199999998</v>
      </c>
      <c r="J56" s="118"/>
      <c r="K56" s="118">
        <f t="shared" si="7"/>
        <v>42070.514199999998</v>
      </c>
    </row>
    <row r="57" spans="1:11" ht="18" customHeight="1" x14ac:dyDescent="0.2">
      <c r="A57" s="435" t="s">
        <v>96</v>
      </c>
      <c r="B57" s="418"/>
      <c r="C57" s="417"/>
      <c r="D57" s="412"/>
      <c r="F57" s="221"/>
      <c r="G57" s="221"/>
      <c r="H57" s="118"/>
      <c r="I57" s="133">
        <f t="shared" si="6"/>
        <v>0</v>
      </c>
      <c r="J57" s="118"/>
      <c r="K57" s="118">
        <f t="shared" si="7"/>
        <v>0</v>
      </c>
    </row>
    <row r="58" spans="1:11" ht="18" customHeight="1" x14ac:dyDescent="0.2">
      <c r="A58" s="435" t="s">
        <v>97</v>
      </c>
      <c r="B58" s="420"/>
      <c r="C58" s="414"/>
      <c r="D58" s="415"/>
      <c r="F58" s="221"/>
      <c r="G58" s="221"/>
      <c r="H58" s="118"/>
      <c r="I58" s="133">
        <f t="shared" si="6"/>
        <v>0</v>
      </c>
      <c r="J58" s="118"/>
      <c r="K58" s="118">
        <f t="shared" si="7"/>
        <v>0</v>
      </c>
    </row>
    <row r="59" spans="1:11" ht="18" customHeight="1" x14ac:dyDescent="0.2">
      <c r="A59" s="435" t="s">
        <v>98</v>
      </c>
      <c r="B59" s="418"/>
      <c r="C59" s="417"/>
      <c r="D59" s="412"/>
      <c r="F59" s="221"/>
      <c r="G59" s="221"/>
      <c r="H59" s="118"/>
      <c r="I59" s="133">
        <f t="shared" si="6"/>
        <v>0</v>
      </c>
      <c r="J59" s="118"/>
      <c r="K59" s="118">
        <f t="shared" si="7"/>
        <v>0</v>
      </c>
    </row>
    <row r="60" spans="1:11" ht="18" customHeight="1" x14ac:dyDescent="0.2">
      <c r="A60" s="435" t="s">
        <v>99</v>
      </c>
      <c r="B60" s="420"/>
      <c r="C60" s="414"/>
      <c r="D60" s="415"/>
      <c r="F60" s="221"/>
      <c r="G60" s="221"/>
      <c r="H60" s="118"/>
      <c r="I60" s="133">
        <f t="shared" si="6"/>
        <v>0</v>
      </c>
      <c r="J60" s="118"/>
      <c r="K60" s="118">
        <f t="shared" si="7"/>
        <v>0</v>
      </c>
    </row>
    <row r="61" spans="1:11" ht="18" customHeight="1" x14ac:dyDescent="0.2">
      <c r="A61" s="435" t="s">
        <v>100</v>
      </c>
      <c r="B61" s="420"/>
      <c r="C61" s="414"/>
      <c r="D61" s="415"/>
      <c r="F61" s="221"/>
      <c r="G61" s="221"/>
      <c r="H61" s="118"/>
      <c r="I61" s="133">
        <f t="shared" si="6"/>
        <v>0</v>
      </c>
      <c r="J61" s="118"/>
      <c r="K61" s="118">
        <f t="shared" si="7"/>
        <v>0</v>
      </c>
    </row>
    <row r="62" spans="1:11" ht="18" customHeight="1" x14ac:dyDescent="0.2">
      <c r="A62" s="435" t="s">
        <v>101</v>
      </c>
      <c r="B62" s="418"/>
      <c r="C62" s="417"/>
      <c r="D62" s="412"/>
      <c r="F62" s="221"/>
      <c r="G62" s="221"/>
      <c r="H62" s="118"/>
      <c r="I62" s="133">
        <f t="shared" si="6"/>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0</v>
      </c>
      <c r="G64" s="221">
        <f t="shared" si="8"/>
        <v>0</v>
      </c>
      <c r="H64" s="118">
        <f t="shared" si="8"/>
        <v>6151480</v>
      </c>
      <c r="I64" s="118">
        <f t="shared" si="8"/>
        <v>4492425.8439999996</v>
      </c>
      <c r="J64" s="118">
        <f t="shared" si="8"/>
        <v>3823678</v>
      </c>
      <c r="K64" s="118">
        <f t="shared" si="8"/>
        <v>6820227.8439999996</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859">
        <v>127477</v>
      </c>
      <c r="I68" s="133">
        <f t="shared" ref="I68:I72" si="9">H68*F$114</f>
        <v>93096.453099999999</v>
      </c>
      <c r="J68" s="122"/>
      <c r="K68" s="118">
        <f>(H68+I68)-J68</f>
        <v>220573.45309999998</v>
      </c>
    </row>
    <row r="69" spans="1:11" ht="18" customHeight="1" x14ac:dyDescent="0.2">
      <c r="A69" s="435" t="s">
        <v>104</v>
      </c>
      <c r="B69" s="419" t="s">
        <v>53</v>
      </c>
      <c r="F69" s="122"/>
      <c r="G69" s="122"/>
      <c r="H69" s="122"/>
      <c r="I69" s="133">
        <f t="shared" si="9"/>
        <v>0</v>
      </c>
      <c r="J69" s="122"/>
      <c r="K69" s="118">
        <f>(H69+I69)-J69</f>
        <v>0</v>
      </c>
    </row>
    <row r="70" spans="1:11" ht="18" customHeight="1" x14ac:dyDescent="0.2">
      <c r="A70" s="435" t="s">
        <v>178</v>
      </c>
      <c r="B70" s="420"/>
      <c r="C70" s="414"/>
      <c r="D70" s="415"/>
      <c r="E70" s="421"/>
      <c r="F70" s="422"/>
      <c r="G70" s="422"/>
      <c r="H70" s="423"/>
      <c r="I70" s="133">
        <f t="shared" si="9"/>
        <v>0</v>
      </c>
      <c r="J70" s="423"/>
      <c r="K70" s="118">
        <f>(H70+I70)-J70</f>
        <v>0</v>
      </c>
    </row>
    <row r="71" spans="1:11" ht="18" customHeight="1" x14ac:dyDescent="0.2">
      <c r="A71" s="435" t="s">
        <v>179</v>
      </c>
      <c r="B71" s="420"/>
      <c r="C71" s="414"/>
      <c r="D71" s="415"/>
      <c r="E71" s="421"/>
      <c r="F71" s="422"/>
      <c r="G71" s="422"/>
      <c r="H71" s="423"/>
      <c r="I71" s="133">
        <f t="shared" si="9"/>
        <v>0</v>
      </c>
      <c r="J71" s="423"/>
      <c r="K71" s="118">
        <f>(H71+I71)-J71</f>
        <v>0</v>
      </c>
    </row>
    <row r="72" spans="1:11" ht="18" customHeight="1" x14ac:dyDescent="0.2">
      <c r="A72" s="435" t="s">
        <v>180</v>
      </c>
      <c r="B72" s="424"/>
      <c r="C72" s="425"/>
      <c r="D72" s="426"/>
      <c r="E72" s="421"/>
      <c r="F72" s="221"/>
      <c r="G72" s="221"/>
      <c r="H72" s="118"/>
      <c r="I72" s="133">
        <f t="shared" si="9"/>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0">SUM(F68:F72)</f>
        <v>0</v>
      </c>
      <c r="G74" s="122">
        <f t="shared" si="10"/>
        <v>0</v>
      </c>
      <c r="H74" s="122">
        <f t="shared" si="10"/>
        <v>127477</v>
      </c>
      <c r="I74" s="133">
        <f t="shared" si="10"/>
        <v>93096.453099999999</v>
      </c>
      <c r="J74" s="122">
        <f t="shared" si="10"/>
        <v>0</v>
      </c>
      <c r="K74" s="118">
        <f t="shared" si="10"/>
        <v>220573.45309999998</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122284</v>
      </c>
      <c r="I77" s="133">
        <v>0</v>
      </c>
      <c r="J77" s="118"/>
      <c r="K77" s="118">
        <f>(H77+I77)-J77</f>
        <v>122284</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v>82431</v>
      </c>
      <c r="I79" s="133">
        <v>0</v>
      </c>
      <c r="J79" s="118"/>
      <c r="K79" s="118">
        <f>(H79+I79)-J79</f>
        <v>82431</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1">SUM(F77:F80)</f>
        <v>0</v>
      </c>
      <c r="G82" s="122">
        <f t="shared" si="11"/>
        <v>0</v>
      </c>
      <c r="H82" s="118">
        <f t="shared" si="11"/>
        <v>204715</v>
      </c>
      <c r="I82" s="118">
        <f t="shared" si="11"/>
        <v>0</v>
      </c>
      <c r="J82" s="118">
        <f t="shared" si="11"/>
        <v>0</v>
      </c>
      <c r="K82" s="118">
        <f t="shared" si="11"/>
        <v>204715</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12">H86*F$114</f>
        <v>0</v>
      </c>
      <c r="J86" s="118"/>
      <c r="K86" s="118">
        <f t="shared" ref="K86:K96" si="13">(H86+I86)-J86</f>
        <v>0</v>
      </c>
    </row>
    <row r="87" spans="1:11" ht="18" customHeight="1" x14ac:dyDescent="0.2">
      <c r="A87" s="435" t="s">
        <v>114</v>
      </c>
      <c r="B87" s="419" t="s">
        <v>14</v>
      </c>
      <c r="F87" s="221"/>
      <c r="G87" s="221"/>
      <c r="H87" s="118"/>
      <c r="I87" s="133">
        <f t="shared" si="12"/>
        <v>0</v>
      </c>
      <c r="J87" s="118"/>
      <c r="K87" s="118">
        <f t="shared" si="13"/>
        <v>0</v>
      </c>
    </row>
    <row r="88" spans="1:11" ht="18" customHeight="1" x14ac:dyDescent="0.2">
      <c r="A88" s="435" t="s">
        <v>115</v>
      </c>
      <c r="B88" s="419" t="s">
        <v>116</v>
      </c>
      <c r="F88" s="221"/>
      <c r="G88" s="221"/>
      <c r="H88" s="118">
        <v>24269</v>
      </c>
      <c r="I88" s="133">
        <f t="shared" si="12"/>
        <v>17723.650699999998</v>
      </c>
      <c r="J88" s="118">
        <v>30000</v>
      </c>
      <c r="K88" s="118">
        <f t="shared" si="13"/>
        <v>11992.650699999998</v>
      </c>
    </row>
    <row r="89" spans="1:11" ht="18" customHeight="1" x14ac:dyDescent="0.2">
      <c r="A89" s="435" t="s">
        <v>117</v>
      </c>
      <c r="B89" s="419" t="s">
        <v>58</v>
      </c>
      <c r="F89" s="221"/>
      <c r="G89" s="221"/>
      <c r="H89" s="118"/>
      <c r="I89" s="133">
        <f t="shared" si="12"/>
        <v>0</v>
      </c>
      <c r="J89" s="118"/>
      <c r="K89" s="118">
        <f t="shared" si="13"/>
        <v>0</v>
      </c>
    </row>
    <row r="90" spans="1:11" ht="18" customHeight="1" x14ac:dyDescent="0.2">
      <c r="A90" s="435" t="s">
        <v>118</v>
      </c>
      <c r="B90" s="465" t="s">
        <v>59</v>
      </c>
      <c r="C90" s="466"/>
      <c r="F90" s="221"/>
      <c r="G90" s="221"/>
      <c r="H90" s="118"/>
      <c r="I90" s="133">
        <f t="shared" si="12"/>
        <v>0</v>
      </c>
      <c r="J90" s="118"/>
      <c r="K90" s="118">
        <f t="shared" si="13"/>
        <v>0</v>
      </c>
    </row>
    <row r="91" spans="1:11" ht="18" customHeight="1" x14ac:dyDescent="0.2">
      <c r="A91" s="435" t="s">
        <v>119</v>
      </c>
      <c r="B91" s="419" t="s">
        <v>60</v>
      </c>
      <c r="F91" s="221"/>
      <c r="G91" s="221"/>
      <c r="H91" s="118"/>
      <c r="I91" s="133">
        <f t="shared" si="12"/>
        <v>0</v>
      </c>
      <c r="J91" s="118"/>
      <c r="K91" s="118">
        <f t="shared" si="13"/>
        <v>0</v>
      </c>
    </row>
    <row r="92" spans="1:11" ht="18" customHeight="1" x14ac:dyDescent="0.2">
      <c r="A92" s="435" t="s">
        <v>120</v>
      </c>
      <c r="B92" s="419" t="s">
        <v>121</v>
      </c>
      <c r="F92" s="257"/>
      <c r="G92" s="257"/>
      <c r="H92" s="429"/>
      <c r="I92" s="133">
        <f t="shared" si="12"/>
        <v>0</v>
      </c>
      <c r="J92" s="429"/>
      <c r="K92" s="118">
        <f t="shared" si="13"/>
        <v>0</v>
      </c>
    </row>
    <row r="93" spans="1:11" ht="18" customHeight="1" x14ac:dyDescent="0.2">
      <c r="A93" s="435" t="s">
        <v>122</v>
      </c>
      <c r="B93" s="419" t="s">
        <v>123</v>
      </c>
      <c r="F93" s="221"/>
      <c r="G93" s="221"/>
      <c r="H93" s="118"/>
      <c r="I93" s="133">
        <f t="shared" si="12"/>
        <v>0</v>
      </c>
      <c r="J93" s="118"/>
      <c r="K93" s="118">
        <f t="shared" si="13"/>
        <v>0</v>
      </c>
    </row>
    <row r="94" spans="1:11" ht="18" customHeight="1" x14ac:dyDescent="0.2">
      <c r="A94" s="435" t="s">
        <v>124</v>
      </c>
      <c r="B94" s="418"/>
      <c r="C94" s="417"/>
      <c r="D94" s="412"/>
      <c r="F94" s="221"/>
      <c r="G94" s="221"/>
      <c r="H94" s="118"/>
      <c r="I94" s="133">
        <f t="shared" si="12"/>
        <v>0</v>
      </c>
      <c r="J94" s="118"/>
      <c r="K94" s="118">
        <f t="shared" si="13"/>
        <v>0</v>
      </c>
    </row>
    <row r="95" spans="1:11" ht="18" customHeight="1" x14ac:dyDescent="0.2">
      <c r="A95" s="435" t="s">
        <v>125</v>
      </c>
      <c r="B95" s="418"/>
      <c r="C95" s="417"/>
      <c r="D95" s="412"/>
      <c r="F95" s="221"/>
      <c r="G95" s="221"/>
      <c r="H95" s="118"/>
      <c r="I95" s="133">
        <f t="shared" si="12"/>
        <v>0</v>
      </c>
      <c r="J95" s="118"/>
      <c r="K95" s="118">
        <f t="shared" si="13"/>
        <v>0</v>
      </c>
    </row>
    <row r="96" spans="1:11" ht="18" customHeight="1" x14ac:dyDescent="0.2">
      <c r="A96" s="435" t="s">
        <v>126</v>
      </c>
      <c r="B96" s="418"/>
      <c r="C96" s="417"/>
      <c r="D96" s="412"/>
      <c r="F96" s="221"/>
      <c r="G96" s="221"/>
      <c r="H96" s="118"/>
      <c r="I96" s="133">
        <f t="shared" si="12"/>
        <v>0</v>
      </c>
      <c r="J96" s="118"/>
      <c r="K96" s="118">
        <f t="shared" si="13"/>
        <v>0</v>
      </c>
    </row>
    <row r="97" spans="1:11" ht="18" customHeight="1" x14ac:dyDescent="0.2">
      <c r="A97" s="435"/>
      <c r="B97" s="419"/>
    </row>
    <row r="98" spans="1:11" ht="18" customHeight="1" x14ac:dyDescent="0.2">
      <c r="A98" s="455" t="s">
        <v>150</v>
      </c>
      <c r="B98" s="421" t="s">
        <v>151</v>
      </c>
      <c r="E98" s="421" t="s">
        <v>7</v>
      </c>
      <c r="F98" s="221">
        <f t="shared" ref="F98:K98" si="14">SUM(F86:F96)</f>
        <v>0</v>
      </c>
      <c r="G98" s="221">
        <f t="shared" si="14"/>
        <v>0</v>
      </c>
      <c r="H98" s="221">
        <f t="shared" si="14"/>
        <v>24269</v>
      </c>
      <c r="I98" s="221">
        <f t="shared" si="14"/>
        <v>17723.650699999998</v>
      </c>
      <c r="J98" s="221">
        <f t="shared" si="14"/>
        <v>30000</v>
      </c>
      <c r="K98" s="221">
        <f t="shared" si="14"/>
        <v>11992.650699999998</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723</v>
      </c>
      <c r="G102" s="221"/>
      <c r="H102" s="118">
        <v>82013</v>
      </c>
      <c r="I102" s="133">
        <f>H102*F$114</f>
        <v>59894.093899999993</v>
      </c>
      <c r="J102" s="118"/>
      <c r="K102" s="118">
        <f>(H102+I102)-J102</f>
        <v>141907.09389999998</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5">SUM(F102:F106)</f>
        <v>723</v>
      </c>
      <c r="G108" s="221">
        <f t="shared" si="15"/>
        <v>0</v>
      </c>
      <c r="H108" s="118">
        <f t="shared" si="15"/>
        <v>82013</v>
      </c>
      <c r="I108" s="118">
        <f t="shared" si="15"/>
        <v>59894.093899999993</v>
      </c>
      <c r="J108" s="118">
        <f t="shared" si="15"/>
        <v>0</v>
      </c>
      <c r="K108" s="118">
        <f t="shared" si="15"/>
        <v>141907.09389999998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2067000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0.73029999999999995</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262501500</v>
      </c>
    </row>
    <row r="118" spans="1:6" ht="18" customHeight="1" x14ac:dyDescent="0.2">
      <c r="A118" s="435" t="s">
        <v>173</v>
      </c>
      <c r="B118" s="259" t="s">
        <v>18</v>
      </c>
      <c r="F118" s="118">
        <v>3979632</v>
      </c>
    </row>
    <row r="119" spans="1:6" ht="18" customHeight="1" x14ac:dyDescent="0.2">
      <c r="A119" s="435" t="s">
        <v>174</v>
      </c>
      <c r="B119" s="421" t="s">
        <v>19</v>
      </c>
      <c r="F119" s="118">
        <f>SUM(F117:F118)</f>
        <v>266481132</v>
      </c>
    </row>
    <row r="120" spans="1:6" ht="18" customHeight="1" x14ac:dyDescent="0.2">
      <c r="A120" s="435"/>
      <c r="B120" s="421"/>
    </row>
    <row r="121" spans="1:6" ht="18" customHeight="1" x14ac:dyDescent="0.2">
      <c r="A121" s="435" t="s">
        <v>167</v>
      </c>
      <c r="B121" s="421" t="s">
        <v>36</v>
      </c>
      <c r="F121" s="118">
        <v>244796678</v>
      </c>
    </row>
    <row r="122" spans="1:6" ht="18" customHeight="1" x14ac:dyDescent="0.2">
      <c r="A122" s="435"/>
    </row>
    <row r="123" spans="1:6" ht="18" customHeight="1" x14ac:dyDescent="0.2">
      <c r="A123" s="435" t="s">
        <v>175</v>
      </c>
      <c r="B123" s="421" t="s">
        <v>20</v>
      </c>
      <c r="F123" s="118">
        <f>F119-F121</f>
        <v>21684454</v>
      </c>
    </row>
    <row r="124" spans="1:6" ht="18" customHeight="1" x14ac:dyDescent="0.2">
      <c r="A124" s="435"/>
    </row>
    <row r="125" spans="1:6" ht="18" customHeight="1" x14ac:dyDescent="0.2">
      <c r="A125" s="435" t="s">
        <v>176</v>
      </c>
      <c r="B125" s="421" t="s">
        <v>21</v>
      </c>
      <c r="F125" s="118">
        <v>6622707</v>
      </c>
    </row>
    <row r="126" spans="1:6" ht="18" customHeight="1" x14ac:dyDescent="0.2">
      <c r="A126" s="435"/>
    </row>
    <row r="127" spans="1:6" ht="18" customHeight="1" x14ac:dyDescent="0.2">
      <c r="A127" s="435" t="s">
        <v>177</v>
      </c>
      <c r="B127" s="421" t="s">
        <v>22</v>
      </c>
      <c r="F127" s="118">
        <f>F123+F125</f>
        <v>28307161</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6">SUM(F131:F135)</f>
        <v>0</v>
      </c>
      <c r="G137" s="221">
        <f t="shared" si="16"/>
        <v>0</v>
      </c>
      <c r="H137" s="118">
        <f t="shared" si="16"/>
        <v>0</v>
      </c>
      <c r="I137" s="118">
        <f t="shared" si="16"/>
        <v>0</v>
      </c>
      <c r="J137" s="118">
        <f t="shared" si="16"/>
        <v>0</v>
      </c>
      <c r="K137" s="118">
        <f t="shared" si="16"/>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7">F36</f>
        <v>12751</v>
      </c>
      <c r="G141" s="422">
        <f t="shared" si="17"/>
        <v>1336</v>
      </c>
      <c r="H141" s="422">
        <f t="shared" si="17"/>
        <v>1087344</v>
      </c>
      <c r="I141" s="422">
        <f t="shared" si="17"/>
        <v>794087.32319999987</v>
      </c>
      <c r="J141" s="422">
        <f t="shared" si="17"/>
        <v>434495</v>
      </c>
      <c r="K141" s="422">
        <f t="shared" si="17"/>
        <v>1446936.3231999998</v>
      </c>
    </row>
    <row r="142" spans="1:11" ht="18" customHeight="1" x14ac:dyDescent="0.2">
      <c r="A142" s="435" t="s">
        <v>142</v>
      </c>
      <c r="B142" s="421" t="s">
        <v>65</v>
      </c>
      <c r="F142" s="422">
        <f t="shared" ref="F142:K142" si="18">F49</f>
        <v>19600</v>
      </c>
      <c r="G142" s="422">
        <f t="shared" si="18"/>
        <v>46</v>
      </c>
      <c r="H142" s="422">
        <f t="shared" si="18"/>
        <v>1131829</v>
      </c>
      <c r="I142" s="422">
        <f t="shared" si="18"/>
        <v>826574.71869999985</v>
      </c>
      <c r="J142" s="422">
        <f t="shared" si="18"/>
        <v>0</v>
      </c>
      <c r="K142" s="422">
        <f t="shared" si="18"/>
        <v>1958403.7186999999</v>
      </c>
    </row>
    <row r="143" spans="1:11" ht="18" customHeight="1" x14ac:dyDescent="0.2">
      <c r="A143" s="435" t="s">
        <v>144</v>
      </c>
      <c r="B143" s="421" t="s">
        <v>66</v>
      </c>
      <c r="F143" s="422">
        <f t="shared" ref="F143:K143" si="19">F64</f>
        <v>0</v>
      </c>
      <c r="G143" s="422">
        <f t="shared" si="19"/>
        <v>0</v>
      </c>
      <c r="H143" s="422">
        <f t="shared" si="19"/>
        <v>6151480</v>
      </c>
      <c r="I143" s="422">
        <f t="shared" si="19"/>
        <v>4492425.8439999996</v>
      </c>
      <c r="J143" s="422">
        <f t="shared" si="19"/>
        <v>3823678</v>
      </c>
      <c r="K143" s="422">
        <f t="shared" si="19"/>
        <v>6820227.8439999996</v>
      </c>
    </row>
    <row r="144" spans="1:11" ht="18" customHeight="1" x14ac:dyDescent="0.2">
      <c r="A144" s="435" t="s">
        <v>146</v>
      </c>
      <c r="B144" s="421" t="s">
        <v>67</v>
      </c>
      <c r="F144" s="422">
        <f t="shared" ref="F144:K144" si="20">F74</f>
        <v>0</v>
      </c>
      <c r="G144" s="422">
        <f t="shared" si="20"/>
        <v>0</v>
      </c>
      <c r="H144" s="422">
        <f t="shared" si="20"/>
        <v>127477</v>
      </c>
      <c r="I144" s="422">
        <f t="shared" si="20"/>
        <v>93096.453099999999</v>
      </c>
      <c r="J144" s="422">
        <f t="shared" si="20"/>
        <v>0</v>
      </c>
      <c r="K144" s="422">
        <f t="shared" si="20"/>
        <v>220573.45309999998</v>
      </c>
    </row>
    <row r="145" spans="1:11" ht="18" customHeight="1" x14ac:dyDescent="0.2">
      <c r="A145" s="435" t="s">
        <v>148</v>
      </c>
      <c r="B145" s="421" t="s">
        <v>68</v>
      </c>
      <c r="F145" s="422">
        <f t="shared" ref="F145:K145" si="21">F82</f>
        <v>0</v>
      </c>
      <c r="G145" s="422">
        <f t="shared" si="21"/>
        <v>0</v>
      </c>
      <c r="H145" s="422">
        <f t="shared" si="21"/>
        <v>204715</v>
      </c>
      <c r="I145" s="422">
        <f t="shared" si="21"/>
        <v>0</v>
      </c>
      <c r="J145" s="422">
        <f t="shared" si="21"/>
        <v>0</v>
      </c>
      <c r="K145" s="422">
        <f t="shared" si="21"/>
        <v>204715</v>
      </c>
    </row>
    <row r="146" spans="1:11" ht="18" customHeight="1" x14ac:dyDescent="0.2">
      <c r="A146" s="435" t="s">
        <v>150</v>
      </c>
      <c r="B146" s="421" t="s">
        <v>69</v>
      </c>
      <c r="F146" s="422">
        <f t="shared" ref="F146:K146" si="22">F98</f>
        <v>0</v>
      </c>
      <c r="G146" s="422">
        <f t="shared" si="22"/>
        <v>0</v>
      </c>
      <c r="H146" s="422">
        <f t="shared" si="22"/>
        <v>24269</v>
      </c>
      <c r="I146" s="422">
        <f t="shared" si="22"/>
        <v>17723.650699999998</v>
      </c>
      <c r="J146" s="422">
        <f t="shared" si="22"/>
        <v>30000</v>
      </c>
      <c r="K146" s="422">
        <f t="shared" si="22"/>
        <v>11992.650699999998</v>
      </c>
    </row>
    <row r="147" spans="1:11" ht="18" customHeight="1" x14ac:dyDescent="0.2">
      <c r="A147" s="435" t="s">
        <v>153</v>
      </c>
      <c r="B147" s="421" t="s">
        <v>61</v>
      </c>
      <c r="F147" s="221">
        <f t="shared" ref="F147:K147" si="23">F108</f>
        <v>723</v>
      </c>
      <c r="G147" s="221">
        <f t="shared" si="23"/>
        <v>0</v>
      </c>
      <c r="H147" s="221">
        <f t="shared" si="23"/>
        <v>82013</v>
      </c>
      <c r="I147" s="221">
        <f t="shared" si="23"/>
        <v>59894.093899999993</v>
      </c>
      <c r="J147" s="221">
        <f t="shared" si="23"/>
        <v>0</v>
      </c>
      <c r="K147" s="221">
        <f t="shared" si="23"/>
        <v>141907.09389999998</v>
      </c>
    </row>
    <row r="148" spans="1:11" ht="18" customHeight="1" x14ac:dyDescent="0.2">
      <c r="A148" s="435" t="s">
        <v>155</v>
      </c>
      <c r="B148" s="421" t="s">
        <v>70</v>
      </c>
      <c r="F148" s="485" t="s">
        <v>73</v>
      </c>
      <c r="G148" s="485" t="s">
        <v>73</v>
      </c>
      <c r="H148" s="486" t="s">
        <v>73</v>
      </c>
      <c r="I148" s="486" t="s">
        <v>73</v>
      </c>
      <c r="J148" s="486" t="s">
        <v>73</v>
      </c>
      <c r="K148" s="423">
        <f>F111</f>
        <v>2067000</v>
      </c>
    </row>
    <row r="149" spans="1:11" ht="18" customHeight="1" x14ac:dyDescent="0.2">
      <c r="A149" s="435" t="s">
        <v>163</v>
      </c>
      <c r="B149" s="421" t="s">
        <v>71</v>
      </c>
      <c r="F149" s="221">
        <f t="shared" ref="F149:K149" si="24">F137</f>
        <v>0</v>
      </c>
      <c r="G149" s="221">
        <f t="shared" si="24"/>
        <v>0</v>
      </c>
      <c r="H149" s="221">
        <f t="shared" si="24"/>
        <v>0</v>
      </c>
      <c r="I149" s="221">
        <f t="shared" si="24"/>
        <v>0</v>
      </c>
      <c r="J149" s="221">
        <f t="shared" si="24"/>
        <v>0</v>
      </c>
      <c r="K149" s="221">
        <f t="shared" si="24"/>
        <v>0</v>
      </c>
    </row>
    <row r="150" spans="1:11" ht="18" customHeight="1" x14ac:dyDescent="0.2">
      <c r="A150" s="435" t="s">
        <v>185</v>
      </c>
      <c r="B150" s="421" t="s">
        <v>186</v>
      </c>
      <c r="F150" s="485" t="s">
        <v>73</v>
      </c>
      <c r="G150" s="485" t="s">
        <v>73</v>
      </c>
      <c r="H150" s="221">
        <f>H18</f>
        <v>5541670</v>
      </c>
      <c r="I150" s="221">
        <f>I18</f>
        <v>0</v>
      </c>
      <c r="J150" s="221">
        <f>J18</f>
        <v>4683805</v>
      </c>
      <c r="K150" s="221">
        <f>K18</f>
        <v>857865</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5">SUM(F141:F150)</f>
        <v>33074</v>
      </c>
      <c r="G152" s="487">
        <f t="shared" si="25"/>
        <v>1382</v>
      </c>
      <c r="H152" s="487">
        <f t="shared" si="25"/>
        <v>14350797</v>
      </c>
      <c r="I152" s="487">
        <f t="shared" si="25"/>
        <v>6283802.0835999986</v>
      </c>
      <c r="J152" s="487">
        <f t="shared" si="25"/>
        <v>8971978</v>
      </c>
      <c r="K152" s="487">
        <f t="shared" si="25"/>
        <v>13729621.083599998</v>
      </c>
    </row>
    <row r="154" spans="1:11" ht="18" customHeight="1" x14ac:dyDescent="0.2">
      <c r="A154" s="455" t="s">
        <v>168</v>
      </c>
      <c r="B154" s="421" t="s">
        <v>28</v>
      </c>
      <c r="F154" s="140">
        <f>K152/F121</f>
        <v>5.6085814545244757E-2</v>
      </c>
    </row>
    <row r="155" spans="1:11" ht="18" customHeight="1" x14ac:dyDescent="0.2">
      <c r="A155" s="455" t="s">
        <v>169</v>
      </c>
      <c r="B155" s="421" t="s">
        <v>72</v>
      </c>
      <c r="F155" s="140">
        <f>K152/F127</f>
        <v>0.48502289168454576</v>
      </c>
      <c r="G155" s="421"/>
    </row>
    <row r="156" spans="1:11" ht="18" customHeight="1" x14ac:dyDescent="0.2">
      <c r="G156" s="421"/>
    </row>
  </sheetData>
  <sheetProtection algorithmName="SHA-512" hashValue="dFXdFIsQ3tCDNoVbQrjX9Z+kKTjdTT1SXSxlJ1ilREAAZxGxjpLJ9D66wsuV9UU9t33nT9S+AcOXnthcvzDw3Q==" saltValue="MqU/CjJfhc2uEH7BPkbGSQ=="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1:I16"/>
  <sheetViews>
    <sheetView showGridLines="0" showRuler="0" zoomScaleNormal="100" workbookViewId="0"/>
  </sheetViews>
  <sheetFormatPr defaultColWidth="9.28515625" defaultRowHeight="15" x14ac:dyDescent="0.25"/>
  <cols>
    <col min="1" max="1" width="15.7109375" style="2" bestFit="1" customWidth="1"/>
    <col min="2" max="2" width="12" style="2" bestFit="1" customWidth="1"/>
    <col min="3" max="3" width="12.140625" style="2" bestFit="1" customWidth="1"/>
    <col min="4" max="4" width="17.85546875" style="2" bestFit="1" customWidth="1"/>
    <col min="5" max="5" width="12.42578125" style="2" customWidth="1"/>
    <col min="6" max="6" width="16.140625" style="2" bestFit="1" customWidth="1"/>
    <col min="7" max="7" width="13" style="2" customWidth="1"/>
    <col min="8" max="8" width="9.28515625" style="2"/>
    <col min="9" max="9" width="14.5703125" style="2" bestFit="1" customWidth="1"/>
    <col min="10" max="16384" width="9.28515625" style="2"/>
  </cols>
  <sheetData>
    <row r="1" spans="1:9" ht="18" customHeight="1" x14ac:dyDescent="0.25">
      <c r="A1" s="5"/>
      <c r="B1" s="357" t="s">
        <v>856</v>
      </c>
      <c r="C1" s="357"/>
      <c r="D1" s="357"/>
      <c r="E1" s="357"/>
      <c r="F1" s="357"/>
      <c r="G1" s="190"/>
    </row>
    <row r="2" spans="1:9" ht="75" customHeight="1" x14ac:dyDescent="0.25">
      <c r="A2" s="223" t="s">
        <v>201</v>
      </c>
      <c r="B2" s="223" t="s">
        <v>202</v>
      </c>
      <c r="C2" s="223" t="s">
        <v>203</v>
      </c>
      <c r="D2" s="223" t="s">
        <v>204</v>
      </c>
      <c r="E2" s="223" t="s">
        <v>205</v>
      </c>
      <c r="F2" s="223" t="s">
        <v>206</v>
      </c>
      <c r="G2" s="223" t="s">
        <v>207</v>
      </c>
    </row>
    <row r="3" spans="1:9" ht="30" x14ac:dyDescent="0.25">
      <c r="A3" s="225" t="s">
        <v>208</v>
      </c>
      <c r="B3" s="227">
        <f>'Attachment III-All'!G6</f>
        <v>0</v>
      </c>
      <c r="C3" s="227">
        <f>'Attachment III-All'!H118</f>
        <v>0</v>
      </c>
      <c r="D3" s="228">
        <f>'Attachment III-All'!L118</f>
        <v>56475885.369651496</v>
      </c>
      <c r="E3" s="229">
        <f>D3/D13</f>
        <v>3.2301251319739849E-2</v>
      </c>
      <c r="F3" s="230">
        <f>D3</f>
        <v>56475885.369651496</v>
      </c>
      <c r="G3" s="229">
        <f>F3/F13</f>
        <v>5.199632298568789E-2</v>
      </c>
    </row>
    <row r="4" spans="1:9" ht="30" x14ac:dyDescent="0.25">
      <c r="A4" s="225" t="s">
        <v>64</v>
      </c>
      <c r="B4" s="227">
        <f>'Attachment III-All'!G109</f>
        <v>1977411.8114953691</v>
      </c>
      <c r="C4" s="227">
        <f>'Attachment III-All'!H109</f>
        <v>3051383.481212541</v>
      </c>
      <c r="D4" s="228">
        <f>'Attachment III-All'!L109</f>
        <v>127419230.87176299</v>
      </c>
      <c r="E4" s="229">
        <f>D4/D13</f>
        <v>7.2877132822577809E-2</v>
      </c>
      <c r="F4" s="230">
        <f>D4</f>
        <v>127419230.87176299</v>
      </c>
      <c r="G4" s="229">
        <f>F4/F13</f>
        <v>0.11731257402396357</v>
      </c>
    </row>
    <row r="5" spans="1:9" ht="45" x14ac:dyDescent="0.25">
      <c r="A5" s="225" t="s">
        <v>209</v>
      </c>
      <c r="B5" s="227">
        <f>'Attachment III-All'!G110</f>
        <v>4897638.3404374365</v>
      </c>
      <c r="C5" s="227">
        <f>'Attachment III-All'!H110</f>
        <v>121081.70015677162</v>
      </c>
      <c r="D5" s="228">
        <f>'Attachment III-All'!L110</f>
        <v>560999544.60489082</v>
      </c>
      <c r="E5" s="229">
        <f>D5/D13</f>
        <v>0.32086238510356985</v>
      </c>
      <c r="F5" s="231">
        <f>D5-'DME_NSPI-all'!E53</f>
        <v>200280754.96461254</v>
      </c>
      <c r="G5" s="229">
        <f>F5/F13</f>
        <v>0.18439485728812524</v>
      </c>
    </row>
    <row r="6" spans="1:9" ht="36" customHeight="1" x14ac:dyDescent="0.25">
      <c r="A6" s="225" t="s">
        <v>210</v>
      </c>
      <c r="B6" s="227">
        <f>'Attachment III-All'!G111</f>
        <v>4175633.5808559214</v>
      </c>
      <c r="C6" s="227">
        <f>'Attachment III-All'!H111</f>
        <v>1643854.2480000001</v>
      </c>
      <c r="D6" s="228">
        <f>'Attachment III-All'!L111</f>
        <v>615041958.29445291</v>
      </c>
      <c r="E6" s="229">
        <f>D6/D13</f>
        <v>0.35177181795417811</v>
      </c>
      <c r="F6" s="231">
        <f t="shared" ref="F6:F11" si="0">D6</f>
        <v>615041958.29445291</v>
      </c>
      <c r="G6" s="229">
        <f>F6/F13</f>
        <v>0.56625797194519834</v>
      </c>
    </row>
    <row r="7" spans="1:9" x14ac:dyDescent="0.25">
      <c r="A7" s="225" t="s">
        <v>67</v>
      </c>
      <c r="B7" s="227">
        <f>'Attachment III-All'!G112</f>
        <v>148740.78</v>
      </c>
      <c r="C7" s="227">
        <f>'Attachment III-All'!H112</f>
        <v>6532</v>
      </c>
      <c r="D7" s="228">
        <f>'Attachment III-All'!L112</f>
        <v>11605193.14232542</v>
      </c>
      <c r="E7" s="229">
        <f>D7/D13</f>
        <v>6.6375632334188233E-3</v>
      </c>
      <c r="F7" s="231">
        <f t="shared" si="0"/>
        <v>11605193.14232542</v>
      </c>
      <c r="G7" s="229">
        <f>F7/F13</f>
        <v>1.0684690766510888E-2</v>
      </c>
    </row>
    <row r="8" spans="1:9" ht="30" x14ac:dyDescent="0.25">
      <c r="A8" s="225" t="s">
        <v>68</v>
      </c>
      <c r="B8" s="227">
        <f>'Attachment III-All'!G113</f>
        <v>29670.898870983241</v>
      </c>
      <c r="C8" s="227">
        <f>'Attachment III-All'!H113</f>
        <v>119940.5</v>
      </c>
      <c r="D8" s="228">
        <f>'Attachment III-All'!L113</f>
        <v>14339667.198712856</v>
      </c>
      <c r="E8" s="229">
        <f>D8/D13</f>
        <v>8.2015393117848903E-3</v>
      </c>
      <c r="F8" s="231">
        <f t="shared" si="0"/>
        <v>14339667.198712856</v>
      </c>
      <c r="G8" s="229">
        <f>F8/F13</f>
        <v>1.3202271417106762E-2</v>
      </c>
    </row>
    <row r="9" spans="1:9" ht="36" customHeight="1" x14ac:dyDescent="0.25">
      <c r="A9" s="225" t="s">
        <v>25</v>
      </c>
      <c r="B9" s="227">
        <f>'Attachment III-All'!G114</f>
        <v>275706.75658960349</v>
      </c>
      <c r="C9" s="227">
        <f>'Attachment III-All'!H114</f>
        <v>295963.5</v>
      </c>
      <c r="D9" s="228">
        <f>'Attachment III-All'!L114</f>
        <v>31911655.347812109</v>
      </c>
      <c r="E9" s="229">
        <f>D9/D13</f>
        <v>1.8251797075367567E-2</v>
      </c>
      <c r="F9" s="231">
        <f t="shared" si="0"/>
        <v>31911655.347812109</v>
      </c>
      <c r="G9" s="229">
        <f>F9/F13</f>
        <v>2.9380482087394532E-2</v>
      </c>
    </row>
    <row r="10" spans="1:9" ht="45" x14ac:dyDescent="0.25">
      <c r="A10" s="225" t="s">
        <v>61</v>
      </c>
      <c r="B10" s="227">
        <f>'Attachment III-All'!G115</f>
        <v>113545.14372846927</v>
      </c>
      <c r="C10" s="227">
        <f>'Attachment III-All'!H115</f>
        <v>2694</v>
      </c>
      <c r="D10" s="228">
        <f>'Attachment III-All'!L115</f>
        <v>14544083.196607169</v>
      </c>
      <c r="E10" s="229">
        <f>D10/D13</f>
        <v>8.3184545664735359E-3</v>
      </c>
      <c r="F10" s="231">
        <f t="shared" si="0"/>
        <v>14544083.196607169</v>
      </c>
      <c r="G10" s="229">
        <f>F10/F13</f>
        <v>1.3390473517532196E-2</v>
      </c>
    </row>
    <row r="11" spans="1:9" x14ac:dyDescent="0.25">
      <c r="A11" s="225" t="s">
        <v>211</v>
      </c>
      <c r="B11" s="227">
        <f>'Attachment III-All'!G117</f>
        <v>67248</v>
      </c>
      <c r="C11" s="227">
        <f>'Attachment III-All'!H117</f>
        <v>35524</v>
      </c>
      <c r="D11" s="228">
        <f>'Attachment III-All'!L117</f>
        <v>5334340.9077206794</v>
      </c>
      <c r="E11" s="229">
        <f>D11/D13</f>
        <v>3.0509638787893541E-3</v>
      </c>
      <c r="F11" s="231">
        <f t="shared" si="0"/>
        <v>5334340.9077206794</v>
      </c>
      <c r="G11" s="229">
        <f>F11/F13</f>
        <v>4.9112308897535312E-3</v>
      </c>
    </row>
    <row r="12" spans="1:9" x14ac:dyDescent="0.25">
      <c r="A12" s="225" t="s">
        <v>476</v>
      </c>
      <c r="B12" s="227">
        <f>'Attachment III-All'!G116</f>
        <v>0</v>
      </c>
      <c r="C12" s="227">
        <f>'Attachment III-All'!H116</f>
        <v>0</v>
      </c>
      <c r="D12" s="228">
        <f>'Attachment III-All'!L116</f>
        <v>310740129.84600002</v>
      </c>
      <c r="E12" s="229">
        <f>D12/D13</f>
        <v>0.17772709473410028</v>
      </c>
      <c r="F12" s="231">
        <f>D12-'Rate Support-Attachment I'!E53</f>
        <v>9198753.0975813866</v>
      </c>
      <c r="G12" s="229">
        <f>F12/F13</f>
        <v>8.4691250787272115E-3</v>
      </c>
    </row>
    <row r="13" spans="1:9" x14ac:dyDescent="0.25">
      <c r="A13" s="224" t="s">
        <v>195</v>
      </c>
      <c r="B13" s="232">
        <f>SUM(B3:B12)</f>
        <v>11685595.311977781</v>
      </c>
      <c r="C13" s="232">
        <f t="shared" ref="C13:G13" si="1">SUM(C3:C12)</f>
        <v>5276973.4293693127</v>
      </c>
      <c r="D13" s="233">
        <f t="shared" si="1"/>
        <v>1748411688.7799363</v>
      </c>
      <c r="E13" s="234">
        <f t="shared" si="1"/>
        <v>1</v>
      </c>
      <c r="F13" s="235">
        <f t="shared" si="1"/>
        <v>1086151522.3912394</v>
      </c>
      <c r="G13" s="234">
        <f t="shared" si="1"/>
        <v>1</v>
      </c>
    </row>
    <row r="14" spans="1:9" x14ac:dyDescent="0.25">
      <c r="E14" s="94"/>
    </row>
    <row r="15" spans="1:9" x14ac:dyDescent="0.25">
      <c r="F15" s="209"/>
    </row>
    <row r="16" spans="1:9" x14ac:dyDescent="0.25">
      <c r="F16" s="220"/>
      <c r="I16" s="6"/>
    </row>
  </sheetData>
  <sheetProtection algorithmName="SHA-512" hashValue="keLRLs6t16/rPJxx0XzP/0QTSxefhyvupYNUCVzkt5fwMhkVXevvYrUAXiGzoMC93AtuAx1pLw6s5sHEIYUQfw==" saltValue="exSmsJTYO1SNOTGa8c+yPQ==" spinCount="100000" sheet="1" objects="1" scenarios="1"/>
  <mergeCells count="1">
    <mergeCell ref="B1:F1"/>
  </mergeCells>
  <pageMargins left="0.7" right="0.7" top="0.75" bottom="0.75" header="0.3" footer="0.3"/>
  <pageSetup orientation="portrait" r:id="rId1"/>
  <ignoredErrors>
    <ignoredError sqref="F3:F12" 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N156"/>
  <sheetViews>
    <sheetView showGridLines="0" zoomScale="85" zoomScaleNormal="85" zoomScaleSheetLayoutView="5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516" customWidth="1"/>
    <col min="9" max="9" width="21.140625" style="516" customWidth="1"/>
    <col min="10" max="10" width="19.85546875" style="516" customWidth="1"/>
    <col min="11" max="11" width="17.5703125" style="516" customWidth="1"/>
    <col min="12" max="12" width="9.140625" style="259"/>
    <col min="13" max="13" width="10.140625" style="259" bestFit="1" customWidth="1"/>
    <col min="14" max="14" width="13.85546875" style="259" bestFit="1" customWidth="1"/>
    <col min="15" max="16384" width="9.140625" style="259"/>
  </cols>
  <sheetData>
    <row r="1" spans="1:11" ht="18" customHeight="1" x14ac:dyDescent="0.2">
      <c r="C1" s="431"/>
      <c r="D1" s="432"/>
      <c r="E1" s="431"/>
      <c r="F1" s="431"/>
      <c r="G1" s="431"/>
      <c r="H1" s="860"/>
      <c r="I1" s="860"/>
      <c r="J1" s="860"/>
      <c r="K1" s="860"/>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89" t="s">
        <v>723</v>
      </c>
      <c r="D5" s="437"/>
      <c r="E5" s="437"/>
      <c r="F5" s="437"/>
      <c r="G5" s="438"/>
    </row>
    <row r="6" spans="1:11" ht="18" customHeight="1" x14ac:dyDescent="0.2">
      <c r="B6" s="435" t="s">
        <v>3</v>
      </c>
      <c r="C6" s="439">
        <v>43</v>
      </c>
      <c r="D6" s="440"/>
      <c r="E6" s="440"/>
      <c r="F6" s="440"/>
      <c r="G6" s="441"/>
    </row>
    <row r="7" spans="1:11" ht="18" customHeight="1" x14ac:dyDescent="0.2">
      <c r="B7" s="435" t="s">
        <v>4</v>
      </c>
      <c r="C7" s="492">
        <v>2200</v>
      </c>
      <c r="D7" s="493"/>
      <c r="E7" s="493"/>
      <c r="F7" s="493"/>
      <c r="G7" s="494"/>
    </row>
    <row r="9" spans="1:11" ht="18" customHeight="1" x14ac:dyDescent="0.2">
      <c r="B9" s="435" t="s">
        <v>1</v>
      </c>
      <c r="C9" s="489" t="s">
        <v>724</v>
      </c>
      <c r="D9" s="437"/>
      <c r="E9" s="437"/>
      <c r="F9" s="437"/>
      <c r="G9" s="438"/>
    </row>
    <row r="10" spans="1:11" ht="18" customHeight="1" x14ac:dyDescent="0.2">
      <c r="B10" s="435" t="s">
        <v>2</v>
      </c>
      <c r="C10" s="490" t="s">
        <v>576</v>
      </c>
      <c r="D10" s="446"/>
      <c r="E10" s="446"/>
      <c r="F10" s="446"/>
      <c r="G10" s="447"/>
    </row>
    <row r="11" spans="1:11" ht="18" customHeight="1" x14ac:dyDescent="0.2">
      <c r="B11" s="435" t="s">
        <v>32</v>
      </c>
      <c r="C11" s="634" t="s">
        <v>725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860"/>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861" t="s">
        <v>29</v>
      </c>
      <c r="I16" s="861" t="s">
        <v>30</v>
      </c>
      <c r="J16" s="861" t="s">
        <v>33</v>
      </c>
      <c r="K16" s="861" t="s">
        <v>34</v>
      </c>
    </row>
    <row r="17" spans="1:11" ht="18" customHeight="1" x14ac:dyDescent="0.2">
      <c r="A17" s="455" t="s">
        <v>184</v>
      </c>
      <c r="B17" s="421" t="s">
        <v>182</v>
      </c>
      <c r="H17" s="862"/>
    </row>
    <row r="18" spans="1:11" ht="18" customHeight="1" x14ac:dyDescent="0.2">
      <c r="A18" s="435" t="s">
        <v>185</v>
      </c>
      <c r="B18" s="419" t="s">
        <v>183</v>
      </c>
      <c r="F18" s="221" t="s">
        <v>73</v>
      </c>
      <c r="G18" s="221" t="s">
        <v>73</v>
      </c>
      <c r="H18" s="118">
        <v>9216949</v>
      </c>
      <c r="I18" s="133">
        <v>0</v>
      </c>
      <c r="J18" s="118">
        <v>7790140</v>
      </c>
      <c r="K18" s="118">
        <f>(H18+I18)-J18</f>
        <v>1426809</v>
      </c>
    </row>
    <row r="19" spans="1:11" ht="45.2" customHeight="1" x14ac:dyDescent="0.2">
      <c r="A19" s="432" t="s">
        <v>8</v>
      </c>
      <c r="B19" s="431"/>
      <c r="C19" s="431"/>
      <c r="D19" s="431"/>
      <c r="E19" s="431"/>
      <c r="F19" s="454" t="s">
        <v>9</v>
      </c>
      <c r="G19" s="454" t="s">
        <v>37</v>
      </c>
      <c r="H19" s="861" t="s">
        <v>29</v>
      </c>
      <c r="I19" s="861" t="s">
        <v>30</v>
      </c>
      <c r="J19" s="861" t="s">
        <v>33</v>
      </c>
      <c r="K19" s="861" t="s">
        <v>34</v>
      </c>
    </row>
    <row r="20" spans="1:11" ht="18" customHeight="1" x14ac:dyDescent="0.2">
      <c r="A20" s="455" t="s">
        <v>74</v>
      </c>
      <c r="B20" s="421" t="s">
        <v>41</v>
      </c>
    </row>
    <row r="21" spans="1:11" ht="18" customHeight="1" x14ac:dyDescent="0.2">
      <c r="A21" s="435" t="s">
        <v>75</v>
      </c>
      <c r="B21" s="419" t="s">
        <v>42</v>
      </c>
      <c r="F21" s="221">
        <v>642.5</v>
      </c>
      <c r="G21" s="221">
        <v>3517</v>
      </c>
      <c r="H21" s="118">
        <v>199418</v>
      </c>
      <c r="I21" s="133">
        <v>47056</v>
      </c>
      <c r="J21" s="118">
        <v>500</v>
      </c>
      <c r="K21" s="118">
        <f t="shared" ref="K21:K34" si="0">(H21+I21)-J21</f>
        <v>245974</v>
      </c>
    </row>
    <row r="22" spans="1:11" ht="18" customHeight="1" x14ac:dyDescent="0.2">
      <c r="A22" s="435" t="s">
        <v>76</v>
      </c>
      <c r="B22" s="259" t="s">
        <v>6</v>
      </c>
      <c r="F22" s="221">
        <v>230</v>
      </c>
      <c r="G22" s="221">
        <v>616</v>
      </c>
      <c r="H22" s="118">
        <v>9136</v>
      </c>
      <c r="I22" s="133">
        <v>6210</v>
      </c>
      <c r="J22" s="118">
        <v>46673</v>
      </c>
      <c r="K22" s="118">
        <f t="shared" si="0"/>
        <v>-31327</v>
      </c>
    </row>
    <row r="23" spans="1:11" ht="18" customHeight="1" x14ac:dyDescent="0.2">
      <c r="A23" s="435" t="s">
        <v>77</v>
      </c>
      <c r="B23" s="259" t="s">
        <v>43</v>
      </c>
      <c r="F23" s="221">
        <v>38</v>
      </c>
      <c r="G23" s="221">
        <v>1077</v>
      </c>
      <c r="H23" s="118">
        <v>72744</v>
      </c>
      <c r="I23" s="133">
        <v>43944</v>
      </c>
      <c r="J23" s="118">
        <v>0</v>
      </c>
      <c r="K23" s="118">
        <f t="shared" si="0"/>
        <v>116688</v>
      </c>
    </row>
    <row r="24" spans="1:11" ht="18" customHeight="1" x14ac:dyDescent="0.2">
      <c r="A24" s="435" t="s">
        <v>78</v>
      </c>
      <c r="B24" s="259" t="s">
        <v>44</v>
      </c>
      <c r="F24" s="221">
        <v>0</v>
      </c>
      <c r="G24" s="221">
        <v>250</v>
      </c>
      <c r="H24" s="118">
        <v>149</v>
      </c>
      <c r="I24" s="133">
        <v>0</v>
      </c>
      <c r="J24" s="118">
        <v>0</v>
      </c>
      <c r="K24" s="118">
        <f t="shared" si="0"/>
        <v>149</v>
      </c>
    </row>
    <row r="25" spans="1:11" ht="18" customHeight="1" x14ac:dyDescent="0.2">
      <c r="A25" s="435" t="s">
        <v>79</v>
      </c>
      <c r="B25" s="259" t="s">
        <v>5</v>
      </c>
      <c r="F25" s="221">
        <v>24</v>
      </c>
      <c r="G25" s="221">
        <v>147</v>
      </c>
      <c r="H25" s="118">
        <v>43490</v>
      </c>
      <c r="I25" s="133">
        <v>30792</v>
      </c>
      <c r="J25" s="118">
        <v>0</v>
      </c>
      <c r="K25" s="118">
        <f t="shared" si="0"/>
        <v>74282</v>
      </c>
    </row>
    <row r="26" spans="1:11" ht="18" customHeight="1" x14ac:dyDescent="0.2">
      <c r="A26" s="435" t="s">
        <v>80</v>
      </c>
      <c r="B26" s="259" t="s">
        <v>45</v>
      </c>
      <c r="F26" s="221">
        <v>28</v>
      </c>
      <c r="G26" s="221">
        <v>485</v>
      </c>
      <c r="H26" s="118">
        <v>8752</v>
      </c>
      <c r="I26" s="133">
        <v>0</v>
      </c>
      <c r="J26" s="118">
        <v>0</v>
      </c>
      <c r="K26" s="118">
        <f t="shared" si="0"/>
        <v>8752</v>
      </c>
    </row>
    <row r="27" spans="1:11" ht="18" customHeight="1" x14ac:dyDescent="0.2">
      <c r="A27" s="435" t="s">
        <v>81</v>
      </c>
      <c r="B27" s="259" t="s">
        <v>536</v>
      </c>
      <c r="F27" s="221"/>
      <c r="G27" s="221"/>
      <c r="H27" s="118"/>
      <c r="I27" s="133">
        <v>0</v>
      </c>
      <c r="J27" s="118">
        <v>0</v>
      </c>
      <c r="K27" s="118">
        <f t="shared" si="0"/>
        <v>0</v>
      </c>
    </row>
    <row r="28" spans="1:11" ht="18" customHeight="1" x14ac:dyDescent="0.2">
      <c r="A28" s="435" t="s">
        <v>82</v>
      </c>
      <c r="B28" s="259" t="s">
        <v>47</v>
      </c>
      <c r="F28" s="221"/>
      <c r="G28" s="221"/>
      <c r="H28" s="118">
        <v>731669</v>
      </c>
      <c r="I28" s="133">
        <v>0</v>
      </c>
      <c r="J28" s="118">
        <v>0</v>
      </c>
      <c r="K28" s="118">
        <f t="shared" si="0"/>
        <v>731669</v>
      </c>
    </row>
    <row r="29" spans="1:11" ht="18" customHeight="1" x14ac:dyDescent="0.2">
      <c r="A29" s="435" t="s">
        <v>83</v>
      </c>
      <c r="B29" s="259" t="s">
        <v>48</v>
      </c>
      <c r="F29" s="221"/>
      <c r="G29" s="221"/>
      <c r="H29" s="118"/>
      <c r="I29" s="133">
        <f t="shared" ref="I29:I34" si="1">H29*F$114</f>
        <v>0</v>
      </c>
      <c r="J29" s="118"/>
      <c r="K29" s="118">
        <f t="shared" si="0"/>
        <v>0</v>
      </c>
    </row>
    <row r="30" spans="1:11" ht="18" customHeight="1" x14ac:dyDescent="0.2">
      <c r="A30" s="435" t="s">
        <v>84</v>
      </c>
      <c r="B30" s="456"/>
      <c r="C30" s="457"/>
      <c r="D30" s="458"/>
      <c r="F30" s="221"/>
      <c r="G30" s="221"/>
      <c r="H30" s="118"/>
      <c r="I30" s="133">
        <f t="shared" si="1"/>
        <v>0</v>
      </c>
      <c r="J30" s="118"/>
      <c r="K30" s="118">
        <f t="shared" si="0"/>
        <v>0</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962.5</v>
      </c>
      <c r="G36" s="221">
        <f t="shared" si="2"/>
        <v>6092</v>
      </c>
      <c r="H36" s="118">
        <f t="shared" si="2"/>
        <v>1065358</v>
      </c>
      <c r="I36" s="118">
        <f>SUM(I21:I34)</f>
        <v>128002</v>
      </c>
      <c r="J36" s="118">
        <f t="shared" si="2"/>
        <v>47173</v>
      </c>
      <c r="K36" s="118">
        <f t="shared" si="2"/>
        <v>1146187</v>
      </c>
    </row>
    <row r="37" spans="1:11" ht="18" customHeight="1" thickBot="1" x14ac:dyDescent="0.25">
      <c r="B37" s="421"/>
      <c r="F37" s="462"/>
      <c r="G37" s="462"/>
      <c r="H37" s="463"/>
      <c r="I37" s="463"/>
      <c r="J37" s="463"/>
      <c r="K37" s="464"/>
    </row>
    <row r="38" spans="1:11" ht="42.75" customHeight="1" x14ac:dyDescent="0.2">
      <c r="F38" s="454" t="s">
        <v>9</v>
      </c>
      <c r="G38" s="454" t="s">
        <v>37</v>
      </c>
      <c r="H38" s="861" t="s">
        <v>29</v>
      </c>
      <c r="I38" s="861" t="s">
        <v>30</v>
      </c>
      <c r="J38" s="861" t="s">
        <v>33</v>
      </c>
      <c r="K38" s="861"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4607</v>
      </c>
      <c r="G41" s="221">
        <v>116</v>
      </c>
      <c r="H41" s="118">
        <v>367531</v>
      </c>
      <c r="I41" s="133">
        <v>136273</v>
      </c>
      <c r="J41" s="118"/>
      <c r="K41" s="118">
        <f t="shared" si="3"/>
        <v>503804</v>
      </c>
    </row>
    <row r="42" spans="1:11" ht="18" customHeight="1" x14ac:dyDescent="0.2">
      <c r="A42" s="435" t="s">
        <v>89</v>
      </c>
      <c r="B42" s="419" t="s">
        <v>11</v>
      </c>
      <c r="F42" s="221">
        <v>1354</v>
      </c>
      <c r="G42" s="221">
        <v>23</v>
      </c>
      <c r="H42" s="118">
        <v>37804</v>
      </c>
      <c r="I42" s="133">
        <v>13383</v>
      </c>
      <c r="J42" s="118"/>
      <c r="K42" s="118">
        <f t="shared" si="3"/>
        <v>51187</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134"/>
      <c r="I44" s="408">
        <v>0</v>
      </c>
      <c r="J44" s="134"/>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5961</v>
      </c>
      <c r="G49" s="409">
        <f t="shared" si="4"/>
        <v>139</v>
      </c>
      <c r="H49" s="118">
        <f t="shared" si="4"/>
        <v>405335</v>
      </c>
      <c r="I49" s="118">
        <f t="shared" si="4"/>
        <v>149656</v>
      </c>
      <c r="J49" s="118">
        <f t="shared" si="4"/>
        <v>0</v>
      </c>
      <c r="K49" s="118">
        <f t="shared" si="4"/>
        <v>554991</v>
      </c>
    </row>
    <row r="50" spans="1:11" ht="18" customHeight="1" thickBot="1" x14ac:dyDescent="0.25">
      <c r="G50" s="469"/>
      <c r="H50" s="863"/>
      <c r="I50" s="863"/>
      <c r="J50" s="863"/>
      <c r="K50" s="863"/>
    </row>
    <row r="51" spans="1:11" ht="42.75" customHeight="1" x14ac:dyDescent="0.2">
      <c r="F51" s="454" t="s">
        <v>9</v>
      </c>
      <c r="G51" s="454" t="s">
        <v>37</v>
      </c>
      <c r="H51" s="861" t="s">
        <v>29</v>
      </c>
      <c r="I51" s="861" t="s">
        <v>30</v>
      </c>
      <c r="J51" s="861" t="s">
        <v>33</v>
      </c>
      <c r="K51" s="861" t="s">
        <v>34</v>
      </c>
    </row>
    <row r="52" spans="1:11" ht="18" customHeight="1" x14ac:dyDescent="0.2">
      <c r="A52" s="455" t="s">
        <v>92</v>
      </c>
      <c r="B52" s="470" t="s">
        <v>38</v>
      </c>
      <c r="C52" s="471"/>
    </row>
    <row r="53" spans="1:11" ht="18" customHeight="1" x14ac:dyDescent="0.2">
      <c r="A53" s="435" t="s">
        <v>51</v>
      </c>
      <c r="B53" s="410" t="s">
        <v>726</v>
      </c>
      <c r="C53" s="411"/>
      <c r="D53" s="412"/>
      <c r="F53" s="221"/>
      <c r="G53" s="221"/>
      <c r="H53" s="118">
        <v>2547048</v>
      </c>
      <c r="I53" s="133">
        <v>94800</v>
      </c>
      <c r="J53" s="118"/>
      <c r="K53" s="118">
        <f t="shared" ref="K53:K62" si="5">(H53+I53)-J53</f>
        <v>2641848</v>
      </c>
    </row>
    <row r="54" spans="1:11" ht="18" customHeight="1" x14ac:dyDescent="0.2">
      <c r="A54" s="435" t="s">
        <v>93</v>
      </c>
      <c r="B54" s="413"/>
      <c r="C54" s="414"/>
      <c r="D54" s="415"/>
      <c r="F54" s="221"/>
      <c r="G54" s="221"/>
      <c r="H54" s="118"/>
      <c r="I54" s="133">
        <v>0</v>
      </c>
      <c r="J54" s="118"/>
      <c r="K54" s="118">
        <f t="shared" si="5"/>
        <v>0</v>
      </c>
    </row>
    <row r="55" spans="1:11" ht="18" customHeight="1" x14ac:dyDescent="0.2">
      <c r="A55" s="435" t="s">
        <v>94</v>
      </c>
      <c r="B55" s="416" t="s">
        <v>325</v>
      </c>
      <c r="C55" s="417"/>
      <c r="D55" s="412"/>
      <c r="F55" s="221"/>
      <c r="G55" s="221"/>
      <c r="H55" s="118">
        <v>5293297</v>
      </c>
      <c r="I55" s="133">
        <v>0</v>
      </c>
      <c r="J55" s="118"/>
      <c r="K55" s="118">
        <f t="shared" si="5"/>
        <v>5293297</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6" t="s">
        <v>727</v>
      </c>
      <c r="C59" s="417"/>
      <c r="D59" s="412"/>
      <c r="F59" s="221"/>
      <c r="G59" s="221"/>
      <c r="H59" s="118">
        <v>4841018</v>
      </c>
      <c r="I59" s="133">
        <v>0</v>
      </c>
      <c r="J59" s="118"/>
      <c r="K59" s="118">
        <f t="shared" si="5"/>
        <v>4841018</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12681363</v>
      </c>
      <c r="I64" s="118">
        <f t="shared" si="6"/>
        <v>94800</v>
      </c>
      <c r="J64" s="118">
        <f t="shared" si="6"/>
        <v>0</v>
      </c>
      <c r="K64" s="118">
        <f t="shared" si="6"/>
        <v>12776163</v>
      </c>
    </row>
    <row r="65" spans="1:11" ht="18" customHeight="1" x14ac:dyDescent="0.2">
      <c r="F65" s="478"/>
      <c r="G65" s="478"/>
      <c r="H65" s="864"/>
      <c r="I65" s="864"/>
      <c r="J65" s="864"/>
      <c r="K65" s="864"/>
    </row>
    <row r="66" spans="1:11" ht="42.75" customHeight="1" x14ac:dyDescent="0.2">
      <c r="F66" s="479" t="s">
        <v>9</v>
      </c>
      <c r="G66" s="479" t="s">
        <v>37</v>
      </c>
      <c r="H66" s="865" t="s">
        <v>29</v>
      </c>
      <c r="I66" s="865" t="s">
        <v>30</v>
      </c>
      <c r="J66" s="865" t="s">
        <v>33</v>
      </c>
      <c r="K66" s="865" t="s">
        <v>34</v>
      </c>
    </row>
    <row r="67" spans="1:11" ht="18" customHeight="1" x14ac:dyDescent="0.2">
      <c r="A67" s="455" t="s">
        <v>102</v>
      </c>
      <c r="B67" s="421" t="s">
        <v>12</v>
      </c>
      <c r="F67" s="480"/>
      <c r="G67" s="480"/>
      <c r="H67" s="137"/>
      <c r="I67" s="137"/>
      <c r="J67" s="137"/>
      <c r="K67" s="137"/>
    </row>
    <row r="68" spans="1:11" ht="18" customHeight="1" x14ac:dyDescent="0.2">
      <c r="A68" s="435" t="s">
        <v>103</v>
      </c>
      <c r="B68" s="259" t="s">
        <v>52</v>
      </c>
      <c r="F68" s="122"/>
      <c r="G68" s="122"/>
      <c r="H68" s="118">
        <v>272974</v>
      </c>
      <c r="I68" s="133">
        <v>193266</v>
      </c>
      <c r="J68" s="118"/>
      <c r="K68" s="118">
        <f>(H68+I68)-J68</f>
        <v>466240</v>
      </c>
    </row>
    <row r="69" spans="1:11" ht="18" customHeight="1" x14ac:dyDescent="0.2">
      <c r="A69" s="435" t="s">
        <v>104</v>
      </c>
      <c r="B69" s="419" t="s">
        <v>53</v>
      </c>
      <c r="F69" s="122"/>
      <c r="G69" s="122"/>
      <c r="H69" s="118"/>
      <c r="I69" s="133">
        <v>0</v>
      </c>
      <c r="J69" s="118"/>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18">
        <f t="shared" si="7"/>
        <v>272974</v>
      </c>
      <c r="I74" s="133">
        <f t="shared" si="7"/>
        <v>193266</v>
      </c>
      <c r="J74" s="118">
        <f t="shared" si="7"/>
        <v>0</v>
      </c>
      <c r="K74" s="118">
        <f t="shared" si="7"/>
        <v>466240</v>
      </c>
    </row>
    <row r="75" spans="1:11" ht="42.75" customHeight="1" x14ac:dyDescent="0.2">
      <c r="F75" s="454" t="s">
        <v>9</v>
      </c>
      <c r="G75" s="454" t="s">
        <v>37</v>
      </c>
      <c r="H75" s="861" t="s">
        <v>29</v>
      </c>
      <c r="I75" s="861" t="s">
        <v>30</v>
      </c>
      <c r="J75" s="861" t="s">
        <v>33</v>
      </c>
      <c r="K75" s="861" t="s">
        <v>34</v>
      </c>
    </row>
    <row r="76" spans="1:11" ht="18" customHeight="1" x14ac:dyDescent="0.2">
      <c r="A76" s="455" t="s">
        <v>105</v>
      </c>
      <c r="B76" s="421" t="s">
        <v>106</v>
      </c>
    </row>
    <row r="77" spans="1:11" ht="18" customHeight="1" x14ac:dyDescent="0.2">
      <c r="A77" s="435" t="s">
        <v>107</v>
      </c>
      <c r="B77" s="419" t="s">
        <v>54</v>
      </c>
      <c r="F77" s="221"/>
      <c r="G77" s="221"/>
      <c r="H77" s="118">
        <v>64252</v>
      </c>
      <c r="I77" s="133">
        <v>0</v>
      </c>
      <c r="J77" s="118"/>
      <c r="K77" s="118">
        <f>(H77+I77)-J77</f>
        <v>64252</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105.3</v>
      </c>
      <c r="G79" s="221">
        <v>175</v>
      </c>
      <c r="H79" s="118">
        <v>20068</v>
      </c>
      <c r="I79" s="133">
        <v>631</v>
      </c>
      <c r="J79" s="118"/>
      <c r="K79" s="118">
        <f>(H79+I79)-J79</f>
        <v>20699</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105.3</v>
      </c>
      <c r="G82" s="122">
        <f t="shared" si="8"/>
        <v>175</v>
      </c>
      <c r="H82" s="118">
        <f t="shared" si="8"/>
        <v>84320</v>
      </c>
      <c r="I82" s="118">
        <f t="shared" si="8"/>
        <v>631</v>
      </c>
      <c r="J82" s="118">
        <f t="shared" si="8"/>
        <v>0</v>
      </c>
      <c r="K82" s="118">
        <f t="shared" si="8"/>
        <v>84951</v>
      </c>
    </row>
    <row r="83" spans="1:11" ht="18" customHeight="1" thickBot="1" x14ac:dyDescent="0.25">
      <c r="A83" s="435"/>
      <c r="F83" s="469"/>
      <c r="G83" s="469"/>
      <c r="H83" s="863"/>
      <c r="I83" s="863"/>
      <c r="J83" s="863"/>
      <c r="K83" s="863"/>
    </row>
    <row r="84" spans="1:11" ht="42.75" customHeight="1" x14ac:dyDescent="0.2">
      <c r="F84" s="454" t="s">
        <v>9</v>
      </c>
      <c r="G84" s="454" t="s">
        <v>37</v>
      </c>
      <c r="H84" s="861" t="s">
        <v>29</v>
      </c>
      <c r="I84" s="861" t="s">
        <v>30</v>
      </c>
      <c r="J84" s="861" t="s">
        <v>33</v>
      </c>
      <c r="K84" s="861" t="s">
        <v>34</v>
      </c>
    </row>
    <row r="85" spans="1:11" ht="18" customHeight="1" x14ac:dyDescent="0.2">
      <c r="A85" s="455" t="s">
        <v>111</v>
      </c>
      <c r="B85" s="421" t="s">
        <v>57</v>
      </c>
    </row>
    <row r="86" spans="1:11" ht="18" customHeight="1" x14ac:dyDescent="0.2">
      <c r="A86" s="435" t="s">
        <v>112</v>
      </c>
      <c r="B86" s="419" t="s">
        <v>113</v>
      </c>
      <c r="F86" s="221"/>
      <c r="G86" s="221"/>
      <c r="H86" s="118">
        <v>0</v>
      </c>
      <c r="I86" s="133">
        <f t="shared" ref="I86:I96" si="9">H86*F$114</f>
        <v>0</v>
      </c>
      <c r="J86" s="118"/>
      <c r="K86" s="118">
        <f t="shared" ref="K86:K96" si="10">(H86+I86)-J86</f>
        <v>0</v>
      </c>
    </row>
    <row r="87" spans="1:11" ht="18" customHeight="1" x14ac:dyDescent="0.2">
      <c r="A87" s="435" t="s">
        <v>114</v>
      </c>
      <c r="B87" s="419" t="s">
        <v>14</v>
      </c>
      <c r="F87" s="221"/>
      <c r="G87" s="221"/>
      <c r="H87" s="118">
        <v>360</v>
      </c>
      <c r="I87" s="133">
        <v>0</v>
      </c>
      <c r="J87" s="118"/>
      <c r="K87" s="118">
        <f t="shared" si="10"/>
        <v>360</v>
      </c>
    </row>
    <row r="88" spans="1:11" ht="18" customHeight="1" x14ac:dyDescent="0.2">
      <c r="A88" s="435" t="s">
        <v>115</v>
      </c>
      <c r="B88" s="419" t="s">
        <v>116</v>
      </c>
      <c r="F88" s="221">
        <v>2</v>
      </c>
      <c r="G88" s="221">
        <v>205</v>
      </c>
      <c r="H88" s="118">
        <v>129</v>
      </c>
      <c r="I88" s="133">
        <v>91</v>
      </c>
      <c r="J88" s="118"/>
      <c r="K88" s="118">
        <f t="shared" si="10"/>
        <v>220</v>
      </c>
    </row>
    <row r="89" spans="1:11" ht="18" customHeight="1" x14ac:dyDescent="0.2">
      <c r="A89" s="435" t="s">
        <v>117</v>
      </c>
      <c r="B89" s="419" t="s">
        <v>58</v>
      </c>
      <c r="F89" s="221">
        <v>66</v>
      </c>
      <c r="G89" s="221">
        <v>30</v>
      </c>
      <c r="H89" s="118">
        <v>7091</v>
      </c>
      <c r="I89" s="133">
        <v>0</v>
      </c>
      <c r="J89" s="118"/>
      <c r="K89" s="118">
        <f t="shared" si="10"/>
        <v>7091</v>
      </c>
    </row>
    <row r="90" spans="1:11" ht="18" customHeight="1" x14ac:dyDescent="0.2">
      <c r="A90" s="435" t="s">
        <v>118</v>
      </c>
      <c r="B90" s="465" t="s">
        <v>59</v>
      </c>
      <c r="C90" s="466"/>
      <c r="F90" s="221">
        <v>2.5</v>
      </c>
      <c r="G90" s="221"/>
      <c r="H90" s="118">
        <v>161</v>
      </c>
      <c r="I90" s="133">
        <v>0</v>
      </c>
      <c r="J90" s="118"/>
      <c r="K90" s="118">
        <f t="shared" si="10"/>
        <v>161</v>
      </c>
    </row>
    <row r="91" spans="1:11" ht="18" customHeight="1" x14ac:dyDescent="0.2">
      <c r="A91" s="435" t="s">
        <v>119</v>
      </c>
      <c r="B91" s="419" t="s">
        <v>60</v>
      </c>
      <c r="F91" s="221"/>
      <c r="G91" s="221"/>
      <c r="H91" s="118">
        <v>0</v>
      </c>
      <c r="I91" s="133">
        <v>0</v>
      </c>
      <c r="J91" s="118"/>
      <c r="K91" s="118">
        <f t="shared" si="10"/>
        <v>0</v>
      </c>
    </row>
    <row r="92" spans="1:11" ht="18" customHeight="1" x14ac:dyDescent="0.2">
      <c r="A92" s="435" t="s">
        <v>120</v>
      </c>
      <c r="B92" s="419" t="s">
        <v>121</v>
      </c>
      <c r="F92" s="257"/>
      <c r="G92" s="257"/>
      <c r="H92" s="429">
        <v>0</v>
      </c>
      <c r="I92" s="866">
        <v>0</v>
      </c>
      <c r="J92" s="429"/>
      <c r="K92" s="118">
        <f>(H92+I92)-J92</f>
        <v>0</v>
      </c>
    </row>
    <row r="93" spans="1:11" ht="18" customHeight="1" x14ac:dyDescent="0.2">
      <c r="A93" s="435" t="s">
        <v>122</v>
      </c>
      <c r="B93" s="419" t="s">
        <v>123</v>
      </c>
      <c r="F93" s="221"/>
      <c r="G93" s="221"/>
      <c r="H93" s="118">
        <v>0</v>
      </c>
      <c r="I93" s="133">
        <f t="shared" si="9"/>
        <v>0</v>
      </c>
      <c r="J93" s="118"/>
      <c r="K93" s="118">
        <f t="shared" si="10"/>
        <v>0</v>
      </c>
    </row>
    <row r="94" spans="1:11" ht="18" customHeight="1" x14ac:dyDescent="0.2">
      <c r="A94" s="435" t="s">
        <v>124</v>
      </c>
      <c r="B94" s="418"/>
      <c r="C94" s="417"/>
      <c r="D94" s="412"/>
      <c r="F94" s="221"/>
      <c r="G94" s="221"/>
      <c r="H94" s="118">
        <v>0</v>
      </c>
      <c r="I94" s="133">
        <f t="shared" si="9"/>
        <v>0</v>
      </c>
      <c r="J94" s="118"/>
      <c r="K94" s="118">
        <f t="shared" si="10"/>
        <v>0</v>
      </c>
    </row>
    <row r="95" spans="1:11" ht="18" customHeight="1" x14ac:dyDescent="0.2">
      <c r="A95" s="435" t="s">
        <v>125</v>
      </c>
      <c r="B95" s="418"/>
      <c r="C95" s="417"/>
      <c r="D95" s="412"/>
      <c r="F95" s="221"/>
      <c r="G95" s="221"/>
      <c r="H95" s="118">
        <v>0</v>
      </c>
      <c r="I95" s="133">
        <f t="shared" si="9"/>
        <v>0</v>
      </c>
      <c r="J95" s="118"/>
      <c r="K95" s="118">
        <f t="shared" si="10"/>
        <v>0</v>
      </c>
    </row>
    <row r="96" spans="1:11" ht="18" customHeight="1" x14ac:dyDescent="0.2">
      <c r="A96" s="435" t="s">
        <v>126</v>
      </c>
      <c r="B96" s="418"/>
      <c r="C96" s="417"/>
      <c r="D96" s="412"/>
      <c r="F96" s="221"/>
      <c r="G96" s="221"/>
      <c r="H96" s="118">
        <v>0</v>
      </c>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70.5</v>
      </c>
      <c r="G98" s="221">
        <f t="shared" si="11"/>
        <v>235</v>
      </c>
      <c r="H98" s="118">
        <f t="shared" si="11"/>
        <v>7741</v>
      </c>
      <c r="I98" s="118">
        <f t="shared" si="11"/>
        <v>91</v>
      </c>
      <c r="J98" s="118">
        <f t="shared" si="11"/>
        <v>0</v>
      </c>
      <c r="K98" s="118">
        <f t="shared" si="11"/>
        <v>7832</v>
      </c>
    </row>
    <row r="99" spans="1:11" ht="18" customHeight="1" thickBot="1" x14ac:dyDescent="0.25">
      <c r="B99" s="421"/>
      <c r="F99" s="469"/>
      <c r="G99" s="469"/>
      <c r="H99" s="863"/>
      <c r="I99" s="863"/>
      <c r="J99" s="863"/>
      <c r="K99" s="863"/>
    </row>
    <row r="100" spans="1:11" ht="42.75" customHeight="1" x14ac:dyDescent="0.2">
      <c r="F100" s="454" t="s">
        <v>9</v>
      </c>
      <c r="G100" s="454" t="s">
        <v>37</v>
      </c>
      <c r="H100" s="861" t="s">
        <v>29</v>
      </c>
      <c r="I100" s="861" t="s">
        <v>30</v>
      </c>
      <c r="J100" s="861" t="s">
        <v>33</v>
      </c>
      <c r="K100" s="861" t="s">
        <v>34</v>
      </c>
    </row>
    <row r="101" spans="1:11" ht="18" customHeight="1" x14ac:dyDescent="0.2">
      <c r="A101" s="455" t="s">
        <v>130</v>
      </c>
      <c r="B101" s="421" t="s">
        <v>63</v>
      </c>
    </row>
    <row r="102" spans="1:11" ht="18" customHeight="1" x14ac:dyDescent="0.2">
      <c r="A102" s="435" t="s">
        <v>131</v>
      </c>
      <c r="B102" s="419" t="s">
        <v>152</v>
      </c>
      <c r="F102" s="221">
        <v>2936</v>
      </c>
      <c r="G102" s="221"/>
      <c r="H102" s="118">
        <v>218810</v>
      </c>
      <c r="I102" s="133">
        <v>154917</v>
      </c>
      <c r="J102" s="118"/>
      <c r="K102" s="118">
        <f>(H102+I102)-J102</f>
        <v>373727</v>
      </c>
    </row>
    <row r="103" spans="1:11" ht="18" customHeight="1" x14ac:dyDescent="0.2">
      <c r="A103" s="435" t="s">
        <v>132</v>
      </c>
      <c r="B103" s="465" t="s">
        <v>62</v>
      </c>
      <c r="C103" s="465"/>
      <c r="F103" s="221"/>
      <c r="G103" s="221"/>
      <c r="H103" s="118">
        <v>0</v>
      </c>
      <c r="I103" s="133">
        <v>7500</v>
      </c>
      <c r="J103" s="118"/>
      <c r="K103" s="118">
        <f>(H103+I103)-J103</f>
        <v>7500</v>
      </c>
    </row>
    <row r="104" spans="1:11" ht="18" customHeight="1" x14ac:dyDescent="0.2">
      <c r="A104" s="435" t="s">
        <v>128</v>
      </c>
      <c r="B104" s="418"/>
      <c r="C104" s="417"/>
      <c r="D104" s="412"/>
      <c r="F104" s="221"/>
      <c r="G104" s="221"/>
      <c r="H104" s="118">
        <v>0</v>
      </c>
      <c r="I104" s="133">
        <f>H104*F$114</f>
        <v>0</v>
      </c>
      <c r="J104" s="118"/>
      <c r="K104" s="118">
        <f>(H104+I104)-J104</f>
        <v>0</v>
      </c>
    </row>
    <row r="105" spans="1:11" ht="18" customHeight="1" x14ac:dyDescent="0.2">
      <c r="A105" s="435" t="s">
        <v>127</v>
      </c>
      <c r="B105" s="418"/>
      <c r="C105" s="417"/>
      <c r="D105" s="412"/>
      <c r="F105" s="221"/>
      <c r="G105" s="221"/>
      <c r="H105" s="118">
        <v>0</v>
      </c>
      <c r="I105" s="133">
        <f>H105*F$114</f>
        <v>0</v>
      </c>
      <c r="J105" s="118"/>
      <c r="K105" s="118">
        <f>(H105+I105)-J105</f>
        <v>0</v>
      </c>
    </row>
    <row r="106" spans="1:11" ht="18" customHeight="1" x14ac:dyDescent="0.2">
      <c r="A106" s="435" t="s">
        <v>129</v>
      </c>
      <c r="B106" s="418"/>
      <c r="C106" s="417"/>
      <c r="D106" s="412"/>
      <c r="F106" s="221"/>
      <c r="G106" s="221"/>
      <c r="H106" s="118">
        <v>0</v>
      </c>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2936</v>
      </c>
      <c r="G108" s="221">
        <f t="shared" si="12"/>
        <v>0</v>
      </c>
      <c r="H108" s="118">
        <f t="shared" si="12"/>
        <v>218810</v>
      </c>
      <c r="I108" s="118">
        <f t="shared" si="12"/>
        <v>162417</v>
      </c>
      <c r="J108" s="118">
        <f t="shared" si="12"/>
        <v>0</v>
      </c>
      <c r="K108" s="118">
        <f t="shared" si="12"/>
        <v>381227</v>
      </c>
    </row>
    <row r="109" spans="1:11" s="468" customFormat="1" ht="18" customHeight="1" thickBot="1" x14ac:dyDescent="0.25">
      <c r="A109" s="482"/>
      <c r="B109" s="483"/>
      <c r="C109" s="484"/>
      <c r="D109" s="484"/>
      <c r="E109" s="484"/>
      <c r="F109" s="469"/>
      <c r="G109" s="469"/>
      <c r="H109" s="863"/>
      <c r="I109" s="863"/>
      <c r="J109" s="863"/>
      <c r="K109" s="863"/>
    </row>
    <row r="110" spans="1:11" s="468" customFormat="1" ht="18" customHeight="1" x14ac:dyDescent="0.2">
      <c r="A110" s="455" t="s">
        <v>156</v>
      </c>
      <c r="B110" s="421" t="s">
        <v>39</v>
      </c>
      <c r="C110" s="259"/>
      <c r="D110" s="259"/>
      <c r="E110" s="259"/>
      <c r="F110" s="259"/>
      <c r="G110" s="259"/>
      <c r="H110" s="516"/>
      <c r="I110" s="516"/>
      <c r="J110" s="516"/>
      <c r="K110" s="516"/>
    </row>
    <row r="111" spans="1:11" ht="18" customHeight="1" x14ac:dyDescent="0.2">
      <c r="A111" s="455" t="s">
        <v>155</v>
      </c>
      <c r="B111" s="421" t="s">
        <v>164</v>
      </c>
      <c r="E111" s="421" t="s">
        <v>7</v>
      </c>
      <c r="F111" s="118">
        <f>'[14]HospP&amp;L'!J19*1000</f>
        <v>6845000</v>
      </c>
      <c r="G111" s="644"/>
    </row>
    <row r="112" spans="1:11" ht="18" customHeight="1" x14ac:dyDescent="0.2">
      <c r="B112" s="421"/>
      <c r="E112" s="421"/>
      <c r="F112" s="258"/>
    </row>
    <row r="113" spans="1:8" ht="18" customHeight="1" x14ac:dyDescent="0.2">
      <c r="A113" s="455"/>
      <c r="B113" s="421" t="s">
        <v>15</v>
      </c>
    </row>
    <row r="114" spans="1:8" ht="18" customHeight="1" x14ac:dyDescent="0.2">
      <c r="A114" s="435" t="s">
        <v>171</v>
      </c>
      <c r="B114" s="419" t="s">
        <v>35</v>
      </c>
      <c r="F114" s="260">
        <f>138642/195938</f>
        <v>0.70758096949034899</v>
      </c>
    </row>
    <row r="115" spans="1:8" ht="18" customHeight="1" x14ac:dyDescent="0.2">
      <c r="A115" s="435"/>
      <c r="B115" s="421"/>
    </row>
    <row r="116" spans="1:8" ht="18" customHeight="1" x14ac:dyDescent="0.2">
      <c r="A116" s="435" t="s">
        <v>170</v>
      </c>
      <c r="B116" s="421" t="s">
        <v>16</v>
      </c>
      <c r="G116" s="419"/>
      <c r="H116" s="867"/>
    </row>
    <row r="117" spans="1:8" ht="18" customHeight="1" x14ac:dyDescent="0.2">
      <c r="A117" s="435" t="s">
        <v>172</v>
      </c>
      <c r="B117" s="419" t="s">
        <v>17</v>
      </c>
      <c r="F117" s="118">
        <f>'[14]HospP&amp;L'!J24*1000</f>
        <v>367990000</v>
      </c>
      <c r="G117" s="649"/>
      <c r="H117" s="868"/>
    </row>
    <row r="118" spans="1:8" ht="18" customHeight="1" x14ac:dyDescent="0.2">
      <c r="A118" s="435" t="s">
        <v>173</v>
      </c>
      <c r="B118" s="259" t="s">
        <v>18</v>
      </c>
      <c r="F118" s="118">
        <f>'[14]HospP&amp;L'!J29*1000</f>
        <v>4980000</v>
      </c>
      <c r="G118" s="649"/>
    </row>
    <row r="119" spans="1:8" ht="18" customHeight="1" x14ac:dyDescent="0.2">
      <c r="A119" s="435" t="s">
        <v>174</v>
      </c>
      <c r="B119" s="421" t="s">
        <v>19</v>
      </c>
      <c r="F119" s="118">
        <f>SUM(F117:F118)</f>
        <v>372970000</v>
      </c>
      <c r="G119" s="649"/>
    </row>
    <row r="120" spans="1:8" ht="18" customHeight="1" x14ac:dyDescent="0.2">
      <c r="A120" s="435"/>
      <c r="B120" s="421"/>
      <c r="G120" s="649"/>
    </row>
    <row r="121" spans="1:8" ht="18" customHeight="1" x14ac:dyDescent="0.2">
      <c r="A121" s="435" t="s">
        <v>167</v>
      </c>
      <c r="B121" s="421" t="s">
        <v>36</v>
      </c>
      <c r="F121" s="118">
        <v>344997000</v>
      </c>
      <c r="G121" s="649"/>
    </row>
    <row r="122" spans="1:8" ht="18" customHeight="1" x14ac:dyDescent="0.2">
      <c r="A122" s="435"/>
      <c r="G122" s="649"/>
    </row>
    <row r="123" spans="1:8" ht="18" customHeight="1" x14ac:dyDescent="0.2">
      <c r="A123" s="435" t="s">
        <v>175</v>
      </c>
      <c r="B123" s="421" t="s">
        <v>20</v>
      </c>
      <c r="F123" s="118">
        <f>F119-F121</f>
        <v>27973000</v>
      </c>
      <c r="G123" s="649"/>
    </row>
    <row r="124" spans="1:8" ht="18" customHeight="1" x14ac:dyDescent="0.2">
      <c r="A124" s="435"/>
      <c r="G124" s="649"/>
    </row>
    <row r="125" spans="1:8" ht="18" customHeight="1" x14ac:dyDescent="0.2">
      <c r="A125" s="435" t="s">
        <v>176</v>
      </c>
      <c r="B125" s="421" t="s">
        <v>21</v>
      </c>
      <c r="F125" s="118">
        <v>4076000</v>
      </c>
      <c r="G125" s="649"/>
    </row>
    <row r="126" spans="1:8" ht="18" customHeight="1" x14ac:dyDescent="0.2">
      <c r="A126" s="435"/>
      <c r="G126" s="649"/>
    </row>
    <row r="127" spans="1:8" ht="18" customHeight="1" x14ac:dyDescent="0.2">
      <c r="A127" s="435" t="s">
        <v>177</v>
      </c>
      <c r="B127" s="421" t="s">
        <v>22</v>
      </c>
      <c r="F127" s="118">
        <f>F125+F123</f>
        <v>32049000</v>
      </c>
      <c r="G127" s="649"/>
    </row>
    <row r="128" spans="1:8" ht="18" customHeight="1" x14ac:dyDescent="0.2">
      <c r="A128" s="435"/>
    </row>
    <row r="129" spans="1:14" ht="42.75" customHeight="1" x14ac:dyDescent="0.2">
      <c r="F129" s="454" t="s">
        <v>9</v>
      </c>
      <c r="G129" s="454" t="s">
        <v>37</v>
      </c>
      <c r="H129" s="861" t="s">
        <v>29</v>
      </c>
      <c r="I129" s="861" t="s">
        <v>30</v>
      </c>
      <c r="J129" s="861" t="s">
        <v>33</v>
      </c>
      <c r="K129" s="861" t="s">
        <v>34</v>
      </c>
    </row>
    <row r="130" spans="1:14" ht="18" customHeight="1" x14ac:dyDescent="0.2">
      <c r="A130" s="455" t="s">
        <v>157</v>
      </c>
      <c r="B130" s="421" t="s">
        <v>23</v>
      </c>
    </row>
    <row r="131" spans="1:14" ht="18" customHeight="1" x14ac:dyDescent="0.2">
      <c r="A131" s="435" t="s">
        <v>158</v>
      </c>
      <c r="B131" s="259" t="s">
        <v>24</v>
      </c>
      <c r="F131" s="221"/>
      <c r="G131" s="221"/>
      <c r="H131" s="118"/>
      <c r="I131" s="133">
        <v>0</v>
      </c>
      <c r="J131" s="118"/>
      <c r="K131" s="118">
        <f>(H131+I131)-J131</f>
        <v>0</v>
      </c>
    </row>
    <row r="132" spans="1:14" ht="18" customHeight="1" x14ac:dyDescent="0.2">
      <c r="A132" s="435" t="s">
        <v>159</v>
      </c>
      <c r="B132" s="259" t="s">
        <v>25</v>
      </c>
      <c r="F132" s="221"/>
      <c r="G132" s="221"/>
      <c r="H132" s="118">
        <v>2060</v>
      </c>
      <c r="I132" s="133">
        <v>0</v>
      </c>
      <c r="J132" s="118"/>
      <c r="K132" s="118">
        <f>(H132+I132)-J132</f>
        <v>2060</v>
      </c>
    </row>
    <row r="133" spans="1:14" ht="18" customHeight="1" x14ac:dyDescent="0.2">
      <c r="A133" s="435" t="s">
        <v>160</v>
      </c>
      <c r="B133" s="456"/>
      <c r="C133" s="457"/>
      <c r="D133" s="458"/>
      <c r="F133" s="221"/>
      <c r="G133" s="221"/>
      <c r="H133" s="118"/>
      <c r="I133" s="133">
        <v>0</v>
      </c>
      <c r="J133" s="118"/>
      <c r="K133" s="118">
        <f>(H133+I133)-J133</f>
        <v>0</v>
      </c>
    </row>
    <row r="134" spans="1:14" ht="18" customHeight="1" x14ac:dyDescent="0.2">
      <c r="A134" s="435" t="s">
        <v>161</v>
      </c>
      <c r="B134" s="456"/>
      <c r="C134" s="457"/>
      <c r="D134" s="458"/>
      <c r="F134" s="221"/>
      <c r="G134" s="221"/>
      <c r="H134" s="118"/>
      <c r="I134" s="133">
        <v>0</v>
      </c>
      <c r="J134" s="118"/>
      <c r="K134" s="118">
        <f>(H134+I134)-J134</f>
        <v>0</v>
      </c>
    </row>
    <row r="135" spans="1:14" ht="18" customHeight="1" x14ac:dyDescent="0.2">
      <c r="A135" s="435" t="s">
        <v>162</v>
      </c>
      <c r="B135" s="456"/>
      <c r="C135" s="457"/>
      <c r="D135" s="458"/>
      <c r="F135" s="221"/>
      <c r="G135" s="221"/>
      <c r="H135" s="118"/>
      <c r="I135" s="133">
        <v>0</v>
      </c>
      <c r="J135" s="118"/>
      <c r="K135" s="118">
        <f>(H135+I135)-J135</f>
        <v>0</v>
      </c>
      <c r="N135" s="656"/>
    </row>
    <row r="136" spans="1:14" ht="18" customHeight="1" thickBot="1" x14ac:dyDescent="0.25">
      <c r="A136" s="455"/>
      <c r="N136" s="656"/>
    </row>
    <row r="137" spans="1:14" ht="18" customHeight="1" thickBot="1" x14ac:dyDescent="0.25">
      <c r="A137" s="455" t="s">
        <v>163</v>
      </c>
      <c r="B137" s="421" t="s">
        <v>27</v>
      </c>
      <c r="F137" s="221">
        <f t="shared" ref="F137:K137" si="13">SUM(F131:F135)</f>
        <v>0</v>
      </c>
      <c r="G137" s="221">
        <f t="shared" si="13"/>
        <v>0</v>
      </c>
      <c r="H137" s="118">
        <f t="shared" si="13"/>
        <v>2060</v>
      </c>
      <c r="I137" s="118">
        <f t="shared" si="13"/>
        <v>0</v>
      </c>
      <c r="J137" s="118">
        <f t="shared" si="13"/>
        <v>0</v>
      </c>
      <c r="K137" s="118">
        <f t="shared" si="13"/>
        <v>2060</v>
      </c>
      <c r="N137" s="869"/>
    </row>
    <row r="138" spans="1:14" ht="18" customHeight="1" thickTop="1" thickBot="1" x14ac:dyDescent="0.25">
      <c r="A138" s="259"/>
      <c r="N138" s="870"/>
    </row>
    <row r="139" spans="1:14" ht="42.75" customHeight="1" thickBot="1" x14ac:dyDescent="0.25">
      <c r="F139" s="454" t="s">
        <v>9</v>
      </c>
      <c r="G139" s="454" t="s">
        <v>37</v>
      </c>
      <c r="H139" s="861" t="s">
        <v>29</v>
      </c>
      <c r="I139" s="861" t="s">
        <v>30</v>
      </c>
      <c r="J139" s="861" t="s">
        <v>33</v>
      </c>
      <c r="K139" s="861" t="s">
        <v>34</v>
      </c>
      <c r="N139" s="871"/>
    </row>
    <row r="140" spans="1:14" ht="18" customHeight="1" thickBot="1" x14ac:dyDescent="0.25">
      <c r="A140" s="455" t="s">
        <v>166</v>
      </c>
      <c r="B140" s="421" t="s">
        <v>26</v>
      </c>
      <c r="N140" s="871"/>
    </row>
    <row r="141" spans="1:14" ht="18" customHeight="1" thickBot="1" x14ac:dyDescent="0.25">
      <c r="A141" s="435" t="s">
        <v>137</v>
      </c>
      <c r="B141" s="421" t="s">
        <v>64</v>
      </c>
      <c r="F141" s="422">
        <f t="shared" ref="F141:K141" si="14">F36</f>
        <v>962.5</v>
      </c>
      <c r="G141" s="422">
        <f t="shared" si="14"/>
        <v>6092</v>
      </c>
      <c r="H141" s="423">
        <f t="shared" si="14"/>
        <v>1065358</v>
      </c>
      <c r="I141" s="423">
        <f t="shared" si="14"/>
        <v>128002</v>
      </c>
      <c r="J141" s="423">
        <f t="shared" si="14"/>
        <v>47173</v>
      </c>
      <c r="K141" s="423">
        <f t="shared" si="14"/>
        <v>1146187</v>
      </c>
      <c r="N141" s="871"/>
    </row>
    <row r="142" spans="1:14" ht="18" customHeight="1" thickBot="1" x14ac:dyDescent="0.25">
      <c r="A142" s="435" t="s">
        <v>142</v>
      </c>
      <c r="B142" s="421" t="s">
        <v>65</v>
      </c>
      <c r="F142" s="422">
        <f t="shared" ref="F142:K142" si="15">F49</f>
        <v>5961</v>
      </c>
      <c r="G142" s="422">
        <f t="shared" si="15"/>
        <v>139</v>
      </c>
      <c r="H142" s="423">
        <f t="shared" si="15"/>
        <v>405335</v>
      </c>
      <c r="I142" s="423">
        <f t="shared" si="15"/>
        <v>149656</v>
      </c>
      <c r="J142" s="423">
        <f t="shared" si="15"/>
        <v>0</v>
      </c>
      <c r="K142" s="423">
        <f t="shared" si="15"/>
        <v>554991</v>
      </c>
      <c r="N142" s="871"/>
    </row>
    <row r="143" spans="1:14" ht="18" customHeight="1" thickBot="1" x14ac:dyDescent="0.25">
      <c r="A143" s="435" t="s">
        <v>144</v>
      </c>
      <c r="B143" s="421" t="s">
        <v>66</v>
      </c>
      <c r="F143" s="422">
        <f t="shared" ref="F143:K143" si="16">F64</f>
        <v>0</v>
      </c>
      <c r="G143" s="422">
        <f t="shared" si="16"/>
        <v>0</v>
      </c>
      <c r="H143" s="423">
        <f t="shared" si="16"/>
        <v>12681363</v>
      </c>
      <c r="I143" s="423">
        <f t="shared" si="16"/>
        <v>94800</v>
      </c>
      <c r="J143" s="423">
        <f t="shared" si="16"/>
        <v>0</v>
      </c>
      <c r="K143" s="423">
        <f t="shared" si="16"/>
        <v>12776163</v>
      </c>
      <c r="N143" s="871"/>
    </row>
    <row r="144" spans="1:14" ht="18" customHeight="1" thickBot="1" x14ac:dyDescent="0.25">
      <c r="A144" s="435" t="s">
        <v>146</v>
      </c>
      <c r="B144" s="421" t="s">
        <v>67</v>
      </c>
      <c r="F144" s="422">
        <f t="shared" ref="F144:K144" si="17">F74</f>
        <v>0</v>
      </c>
      <c r="G144" s="422">
        <f t="shared" si="17"/>
        <v>0</v>
      </c>
      <c r="H144" s="423">
        <f t="shared" si="17"/>
        <v>272974</v>
      </c>
      <c r="I144" s="423">
        <f t="shared" si="17"/>
        <v>193266</v>
      </c>
      <c r="J144" s="423">
        <f t="shared" si="17"/>
        <v>0</v>
      </c>
      <c r="K144" s="423">
        <f t="shared" si="17"/>
        <v>466240</v>
      </c>
      <c r="N144" s="871"/>
    </row>
    <row r="145" spans="1:14" ht="18" customHeight="1" thickBot="1" x14ac:dyDescent="0.25">
      <c r="A145" s="435" t="s">
        <v>148</v>
      </c>
      <c r="B145" s="421" t="s">
        <v>68</v>
      </c>
      <c r="F145" s="422">
        <f t="shared" ref="F145:K145" si="18">F82</f>
        <v>105.3</v>
      </c>
      <c r="G145" s="422">
        <f t="shared" si="18"/>
        <v>175</v>
      </c>
      <c r="H145" s="423">
        <f t="shared" si="18"/>
        <v>84320</v>
      </c>
      <c r="I145" s="423">
        <f t="shared" si="18"/>
        <v>631</v>
      </c>
      <c r="J145" s="423">
        <f t="shared" si="18"/>
        <v>0</v>
      </c>
      <c r="K145" s="423">
        <f t="shared" si="18"/>
        <v>84951</v>
      </c>
      <c r="N145" s="871"/>
    </row>
    <row r="146" spans="1:14" ht="18" customHeight="1" thickBot="1" x14ac:dyDescent="0.25">
      <c r="A146" s="435" t="s">
        <v>150</v>
      </c>
      <c r="B146" s="421" t="s">
        <v>69</v>
      </c>
      <c r="F146" s="422">
        <f t="shared" ref="F146:K146" si="19">F98</f>
        <v>70.5</v>
      </c>
      <c r="G146" s="422">
        <f t="shared" si="19"/>
        <v>235</v>
      </c>
      <c r="H146" s="423">
        <f t="shared" si="19"/>
        <v>7741</v>
      </c>
      <c r="I146" s="423">
        <f t="shared" si="19"/>
        <v>91</v>
      </c>
      <c r="J146" s="423">
        <f t="shared" si="19"/>
        <v>0</v>
      </c>
      <c r="K146" s="423">
        <f t="shared" si="19"/>
        <v>7832</v>
      </c>
      <c r="N146" s="871"/>
    </row>
    <row r="147" spans="1:14" ht="18" customHeight="1" x14ac:dyDescent="0.2">
      <c r="A147" s="435" t="s">
        <v>153</v>
      </c>
      <c r="B147" s="421" t="s">
        <v>61</v>
      </c>
      <c r="F147" s="221">
        <f t="shared" ref="F147:K147" si="20">F108</f>
        <v>2936</v>
      </c>
      <c r="G147" s="221">
        <f t="shared" si="20"/>
        <v>0</v>
      </c>
      <c r="H147" s="118">
        <f t="shared" si="20"/>
        <v>218810</v>
      </c>
      <c r="I147" s="118">
        <f t="shared" si="20"/>
        <v>162417</v>
      </c>
      <c r="J147" s="118">
        <f t="shared" si="20"/>
        <v>0</v>
      </c>
      <c r="K147" s="118">
        <f t="shared" si="20"/>
        <v>381227</v>
      </c>
      <c r="N147" s="872"/>
    </row>
    <row r="148" spans="1:14" ht="18" customHeight="1" x14ac:dyDescent="0.2">
      <c r="A148" s="435" t="s">
        <v>155</v>
      </c>
      <c r="B148" s="421" t="s">
        <v>70</v>
      </c>
      <c r="F148" s="485" t="s">
        <v>73</v>
      </c>
      <c r="G148" s="485" t="s">
        <v>73</v>
      </c>
      <c r="H148" s="486" t="s">
        <v>73</v>
      </c>
      <c r="I148" s="486" t="s">
        <v>73</v>
      </c>
      <c r="J148" s="486" t="s">
        <v>73</v>
      </c>
      <c r="K148" s="423">
        <f>F111</f>
        <v>6845000</v>
      </c>
      <c r="N148" s="873"/>
    </row>
    <row r="149" spans="1:14" ht="18" customHeight="1" x14ac:dyDescent="0.2">
      <c r="A149" s="435" t="s">
        <v>163</v>
      </c>
      <c r="B149" s="421" t="s">
        <v>71</v>
      </c>
      <c r="F149" s="221">
        <f t="shared" ref="F149:K149" si="21">F137</f>
        <v>0</v>
      </c>
      <c r="G149" s="221">
        <f t="shared" si="21"/>
        <v>0</v>
      </c>
      <c r="H149" s="118">
        <f t="shared" si="21"/>
        <v>2060</v>
      </c>
      <c r="I149" s="118">
        <f t="shared" si="21"/>
        <v>0</v>
      </c>
      <c r="J149" s="118">
        <f t="shared" si="21"/>
        <v>0</v>
      </c>
      <c r="K149" s="118">
        <f t="shared" si="21"/>
        <v>2060</v>
      </c>
      <c r="M149" s="499"/>
      <c r="N149" s="656"/>
    </row>
    <row r="150" spans="1:14" ht="18" customHeight="1" x14ac:dyDescent="0.2">
      <c r="A150" s="435" t="s">
        <v>185</v>
      </c>
      <c r="B150" s="421" t="s">
        <v>186</v>
      </c>
      <c r="F150" s="485" t="s">
        <v>73</v>
      </c>
      <c r="G150" s="485" t="s">
        <v>73</v>
      </c>
      <c r="H150" s="118">
        <f>H18</f>
        <v>9216949</v>
      </c>
      <c r="I150" s="118">
        <f>I18</f>
        <v>0</v>
      </c>
      <c r="J150" s="118">
        <f>J18</f>
        <v>7790140</v>
      </c>
      <c r="K150" s="118">
        <f>K18</f>
        <v>1426809</v>
      </c>
      <c r="M150" s="499"/>
    </row>
    <row r="151" spans="1:14" ht="18" customHeight="1" x14ac:dyDescent="0.2">
      <c r="B151" s="421"/>
      <c r="F151" s="478"/>
      <c r="G151" s="478"/>
      <c r="H151" s="864"/>
      <c r="I151" s="864"/>
      <c r="J151" s="864"/>
      <c r="K151" s="864"/>
    </row>
    <row r="152" spans="1:14" ht="18" customHeight="1" x14ac:dyDescent="0.2">
      <c r="A152" s="455" t="s">
        <v>165</v>
      </c>
      <c r="B152" s="421" t="s">
        <v>26</v>
      </c>
      <c r="F152" s="487">
        <f t="shared" ref="F152:K152" si="22">SUM(F141:F150)</f>
        <v>10035.299999999999</v>
      </c>
      <c r="G152" s="487">
        <f t="shared" si="22"/>
        <v>6641</v>
      </c>
      <c r="H152" s="874">
        <f t="shared" si="22"/>
        <v>23954910</v>
      </c>
      <c r="I152" s="874">
        <f t="shared" si="22"/>
        <v>728863</v>
      </c>
      <c r="J152" s="874">
        <f t="shared" si="22"/>
        <v>7837313</v>
      </c>
      <c r="K152" s="874">
        <f t="shared" si="22"/>
        <v>23691460</v>
      </c>
    </row>
    <row r="154" spans="1:14" ht="18" customHeight="1" x14ac:dyDescent="0.2">
      <c r="A154" s="455" t="s">
        <v>168</v>
      </c>
      <c r="B154" s="421" t="s">
        <v>28</v>
      </c>
      <c r="F154" s="140">
        <f>K152/F121</f>
        <v>6.867149569416546E-2</v>
      </c>
    </row>
    <row r="155" spans="1:14" ht="18" customHeight="1" x14ac:dyDescent="0.2">
      <c r="A155" s="455" t="s">
        <v>169</v>
      </c>
      <c r="B155" s="421" t="s">
        <v>72</v>
      </c>
      <c r="F155" s="140">
        <f>K152/F127</f>
        <v>0.7392261849043652</v>
      </c>
      <c r="G155" s="421"/>
    </row>
    <row r="156" spans="1:14" ht="18" customHeight="1" x14ac:dyDescent="0.2">
      <c r="G156" s="421"/>
    </row>
  </sheetData>
  <sheetProtection algorithmName="SHA-512" hashValue="r3KA5UO6LlzUB2p47WgNtf3RSygQcirGJioYSgGHRPwhYwnw+stb31Hdqtj1JSZLIUadNDoSfoNYT+9u2yiDbw==" saltValue="2Of3PiTYMCGwpAR2YeHArg=="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156"/>
  <sheetViews>
    <sheetView showGridLines="0" zoomScale="85" zoomScaleNormal="85"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518</v>
      </c>
      <c r="D5" s="437"/>
      <c r="E5" s="437"/>
      <c r="F5" s="437"/>
      <c r="G5" s="438"/>
    </row>
    <row r="6" spans="1:11" ht="18" customHeight="1" x14ac:dyDescent="0.2">
      <c r="B6" s="435" t="s">
        <v>3</v>
      </c>
      <c r="C6" s="439">
        <v>44</v>
      </c>
      <c r="D6" s="440"/>
      <c r="E6" s="440"/>
      <c r="F6" s="440"/>
      <c r="G6" s="441"/>
    </row>
    <row r="7" spans="1:11" ht="18" customHeight="1" x14ac:dyDescent="0.2">
      <c r="B7" s="435" t="s">
        <v>4</v>
      </c>
      <c r="C7" s="492"/>
      <c r="D7" s="493"/>
      <c r="E7" s="493"/>
      <c r="F7" s="493"/>
      <c r="G7" s="494"/>
    </row>
    <row r="9" spans="1:11" ht="18" customHeight="1" x14ac:dyDescent="0.2">
      <c r="B9" s="435" t="s">
        <v>1</v>
      </c>
      <c r="C9" s="436" t="s">
        <v>577</v>
      </c>
      <c r="D9" s="437"/>
      <c r="E9" s="437"/>
      <c r="F9" s="437"/>
      <c r="G9" s="438"/>
    </row>
    <row r="10" spans="1:11" ht="18" customHeight="1" x14ac:dyDescent="0.2">
      <c r="B10" s="435" t="s">
        <v>2</v>
      </c>
      <c r="C10" s="445" t="s">
        <v>578</v>
      </c>
      <c r="D10" s="446"/>
      <c r="E10" s="446"/>
      <c r="F10" s="446"/>
      <c r="G10" s="447"/>
    </row>
    <row r="11" spans="1:11" ht="18" customHeight="1" x14ac:dyDescent="0.2">
      <c r="B11" s="435" t="s">
        <v>32</v>
      </c>
      <c r="C11" s="634" t="s">
        <v>579</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10065332</v>
      </c>
      <c r="I18" s="133">
        <v>0</v>
      </c>
      <c r="J18" s="118">
        <v>8507192</v>
      </c>
      <c r="K18" s="118">
        <f>(H18+I18)-J18</f>
        <v>1558140</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2130.5</v>
      </c>
      <c r="G21" s="221">
        <v>58428</v>
      </c>
      <c r="H21" s="118">
        <v>114374.07</v>
      </c>
      <c r="I21" s="133">
        <f t="shared" ref="I21:I34" si="0">H21*F$114</f>
        <v>74797.895181640473</v>
      </c>
      <c r="J21" s="118"/>
      <c r="K21" s="118">
        <f t="shared" ref="K21:K34" si="1">(H21+I21)-J21</f>
        <v>189171.96518164047</v>
      </c>
    </row>
    <row r="22" spans="1:11" ht="18" customHeight="1" x14ac:dyDescent="0.2">
      <c r="A22" s="435" t="s">
        <v>76</v>
      </c>
      <c r="B22" s="259" t="s">
        <v>6</v>
      </c>
      <c r="F22" s="221">
        <v>16</v>
      </c>
      <c r="G22" s="221">
        <v>347</v>
      </c>
      <c r="H22" s="118">
        <v>1548.1400000000003</v>
      </c>
      <c r="I22" s="133">
        <f t="shared" si="0"/>
        <v>1012.4463827028706</v>
      </c>
      <c r="J22" s="118"/>
      <c r="K22" s="118">
        <f t="shared" si="1"/>
        <v>2560.5863827028707</v>
      </c>
    </row>
    <row r="23" spans="1:11" ht="18" customHeight="1" x14ac:dyDescent="0.2">
      <c r="A23" s="435" t="s">
        <v>77</v>
      </c>
      <c r="B23" s="259" t="s">
        <v>43</v>
      </c>
      <c r="F23" s="221">
        <v>196</v>
      </c>
      <c r="G23" s="221">
        <v>1761</v>
      </c>
      <c r="H23" s="118">
        <v>52102.952569999994</v>
      </c>
      <c r="I23" s="133">
        <f>H23*F$114</f>
        <v>34074.079771619952</v>
      </c>
      <c r="J23" s="118"/>
      <c r="K23" s="118">
        <f t="shared" si="1"/>
        <v>86177.032341619954</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v>66.75</v>
      </c>
      <c r="G25" s="221">
        <v>297</v>
      </c>
      <c r="H25" s="118">
        <v>11311.289999999999</v>
      </c>
      <c r="I25" s="133">
        <f t="shared" si="0"/>
        <v>7397.3120287591237</v>
      </c>
      <c r="J25" s="118">
        <v>720</v>
      </c>
      <c r="K25" s="118">
        <f t="shared" si="1"/>
        <v>17988.602028759124</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656" t="s">
        <v>48</v>
      </c>
      <c r="F29" s="221">
        <v>2080</v>
      </c>
      <c r="G29" s="221">
        <v>142</v>
      </c>
      <c r="H29" s="118">
        <v>178623.04</v>
      </c>
      <c r="I29" s="133">
        <f t="shared" si="0"/>
        <v>116815.17867595317</v>
      </c>
      <c r="J29" s="118"/>
      <c r="K29" s="118">
        <f t="shared" si="1"/>
        <v>295438.21867595316</v>
      </c>
    </row>
    <row r="30" spans="1:11" ht="18" customHeight="1" x14ac:dyDescent="0.2">
      <c r="A30" s="435" t="s">
        <v>84</v>
      </c>
      <c r="B30" s="656" t="s">
        <v>649</v>
      </c>
      <c r="C30" s="656"/>
      <c r="D30" s="656"/>
      <c r="F30" s="221">
        <v>2822.59</v>
      </c>
      <c r="G30" s="221">
        <v>1859</v>
      </c>
      <c r="H30" s="118">
        <v>37504.36</v>
      </c>
      <c r="I30" s="133">
        <f t="shared" si="0"/>
        <v>24526.950803923562</v>
      </c>
      <c r="J30" s="118"/>
      <c r="K30" s="118">
        <f t="shared" si="1"/>
        <v>62031.310803923567</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2" ht="18" customHeight="1" x14ac:dyDescent="0.2">
      <c r="A33" s="435" t="s">
        <v>135</v>
      </c>
      <c r="B33" s="459"/>
      <c r="C33" s="460"/>
      <c r="D33" s="461"/>
      <c r="F33" s="221"/>
      <c r="G33" s="255" t="s">
        <v>85</v>
      </c>
      <c r="H33" s="118"/>
      <c r="I33" s="133">
        <f t="shared" si="0"/>
        <v>0</v>
      </c>
      <c r="J33" s="118"/>
      <c r="K33" s="118">
        <f t="shared" si="1"/>
        <v>0</v>
      </c>
    </row>
    <row r="34" spans="1:12" ht="18" customHeight="1" x14ac:dyDescent="0.2">
      <c r="A34" s="435" t="s">
        <v>136</v>
      </c>
      <c r="B34" s="456"/>
      <c r="C34" s="457"/>
      <c r="D34" s="458"/>
      <c r="F34" s="221"/>
      <c r="G34" s="255" t="s">
        <v>85</v>
      </c>
      <c r="H34" s="118"/>
      <c r="I34" s="133">
        <f t="shared" si="0"/>
        <v>0</v>
      </c>
      <c r="J34" s="118"/>
      <c r="K34" s="118">
        <f t="shared" si="1"/>
        <v>0</v>
      </c>
    </row>
    <row r="35" spans="1:12" ht="18" customHeight="1" x14ac:dyDescent="0.2">
      <c r="K35" s="406"/>
    </row>
    <row r="36" spans="1:12" ht="18" customHeight="1" x14ac:dyDescent="0.2">
      <c r="A36" s="455" t="s">
        <v>137</v>
      </c>
      <c r="B36" s="421" t="s">
        <v>138</v>
      </c>
      <c r="E36" s="421" t="s">
        <v>7</v>
      </c>
      <c r="F36" s="221">
        <f t="shared" ref="F36:K36" si="2">SUM(F21:F34)</f>
        <v>7311.84</v>
      </c>
      <c r="G36" s="221">
        <f t="shared" si="2"/>
        <v>62834</v>
      </c>
      <c r="H36" s="221">
        <f t="shared" si="2"/>
        <v>395463.85256999999</v>
      </c>
      <c r="I36" s="118">
        <f t="shared" si="2"/>
        <v>258623.86284459915</v>
      </c>
      <c r="J36" s="118">
        <f t="shared" si="2"/>
        <v>720</v>
      </c>
      <c r="K36" s="118">
        <f t="shared" si="2"/>
        <v>653367.71541459905</v>
      </c>
    </row>
    <row r="37" spans="1:12" ht="18" customHeight="1" thickBot="1" x14ac:dyDescent="0.25">
      <c r="B37" s="421"/>
      <c r="F37" s="462"/>
      <c r="G37" s="462"/>
      <c r="H37" s="463"/>
      <c r="I37" s="463"/>
      <c r="J37" s="463"/>
      <c r="K37" s="464"/>
    </row>
    <row r="38" spans="1:12" ht="42.75" customHeight="1" x14ac:dyDescent="0.2">
      <c r="F38" s="454" t="s">
        <v>9</v>
      </c>
      <c r="G38" s="454" t="s">
        <v>37</v>
      </c>
      <c r="H38" s="454" t="s">
        <v>29</v>
      </c>
      <c r="I38" s="454" t="s">
        <v>30</v>
      </c>
      <c r="J38" s="454" t="s">
        <v>33</v>
      </c>
      <c r="K38" s="454" t="s">
        <v>34</v>
      </c>
    </row>
    <row r="39" spans="1:12" ht="18.75" customHeight="1" x14ac:dyDescent="0.2">
      <c r="A39" s="455" t="s">
        <v>86</v>
      </c>
      <c r="B39" s="421" t="s">
        <v>49</v>
      </c>
    </row>
    <row r="40" spans="1:12" ht="18" customHeight="1" x14ac:dyDescent="0.2">
      <c r="A40" s="435" t="s">
        <v>87</v>
      </c>
      <c r="B40" s="259" t="s">
        <v>31</v>
      </c>
      <c r="F40" s="221">
        <v>135166.18</v>
      </c>
      <c r="G40" s="221"/>
      <c r="H40" s="118">
        <v>5506287.0677506188</v>
      </c>
      <c r="I40" s="133">
        <v>0</v>
      </c>
      <c r="J40" s="118"/>
      <c r="K40" s="118">
        <f t="shared" ref="K40:K47" si="3">(H40+I40)-J40</f>
        <v>5506287.0677506188</v>
      </c>
      <c r="L40" s="419" t="s">
        <v>650</v>
      </c>
    </row>
    <row r="41" spans="1:12" ht="18" customHeight="1" x14ac:dyDescent="0.2">
      <c r="A41" s="435" t="s">
        <v>88</v>
      </c>
      <c r="B41" s="465" t="s">
        <v>50</v>
      </c>
      <c r="C41" s="466"/>
      <c r="F41" s="221">
        <v>64126.98</v>
      </c>
      <c r="G41" s="221"/>
      <c r="H41" s="118">
        <v>723776.49</v>
      </c>
      <c r="I41" s="133">
        <v>0</v>
      </c>
      <c r="J41" s="118"/>
      <c r="K41" s="118">
        <f t="shared" si="3"/>
        <v>723776.49</v>
      </c>
      <c r="L41" s="419" t="s">
        <v>651</v>
      </c>
    </row>
    <row r="42" spans="1:12" ht="18" customHeight="1" x14ac:dyDescent="0.2">
      <c r="A42" s="435" t="s">
        <v>89</v>
      </c>
      <c r="B42" s="419" t="s">
        <v>11</v>
      </c>
      <c r="F42" s="221"/>
      <c r="G42" s="221"/>
      <c r="H42" s="118"/>
      <c r="I42" s="133">
        <v>0</v>
      </c>
      <c r="J42" s="118"/>
      <c r="K42" s="118">
        <f t="shared" si="3"/>
        <v>0</v>
      </c>
    </row>
    <row r="43" spans="1:12" ht="18" customHeight="1" x14ac:dyDescent="0.2">
      <c r="A43" s="435" t="s">
        <v>90</v>
      </c>
      <c r="B43" s="467" t="s">
        <v>10</v>
      </c>
      <c r="C43" s="468"/>
      <c r="D43" s="468"/>
      <c r="F43" s="221"/>
      <c r="G43" s="221"/>
      <c r="H43" s="118"/>
      <c r="I43" s="133">
        <v>0</v>
      </c>
      <c r="J43" s="118"/>
      <c r="K43" s="118">
        <f t="shared" si="3"/>
        <v>0</v>
      </c>
    </row>
    <row r="44" spans="1:12" ht="18" customHeight="1" x14ac:dyDescent="0.2">
      <c r="A44" s="435" t="s">
        <v>91</v>
      </c>
      <c r="B44" s="456"/>
      <c r="C44" s="457"/>
      <c r="D44" s="458"/>
      <c r="F44" s="407"/>
      <c r="G44" s="407"/>
      <c r="H44" s="407"/>
      <c r="I44" s="408">
        <v>0</v>
      </c>
      <c r="J44" s="407"/>
      <c r="K44" s="134">
        <f t="shared" si="3"/>
        <v>0</v>
      </c>
    </row>
    <row r="45" spans="1:12" ht="18" customHeight="1" x14ac:dyDescent="0.2">
      <c r="A45" s="435" t="s">
        <v>139</v>
      </c>
      <c r="B45" s="456"/>
      <c r="C45" s="457"/>
      <c r="D45" s="458"/>
      <c r="F45" s="221"/>
      <c r="G45" s="221"/>
      <c r="H45" s="118"/>
      <c r="I45" s="133">
        <v>0</v>
      </c>
      <c r="J45" s="118"/>
      <c r="K45" s="118">
        <f t="shared" si="3"/>
        <v>0</v>
      </c>
    </row>
    <row r="46" spans="1:12" ht="18" customHeight="1" x14ac:dyDescent="0.2">
      <c r="A46" s="435" t="s">
        <v>140</v>
      </c>
      <c r="B46" s="456"/>
      <c r="C46" s="457"/>
      <c r="D46" s="458"/>
      <c r="F46" s="221"/>
      <c r="G46" s="221"/>
      <c r="H46" s="118"/>
      <c r="I46" s="133">
        <v>0</v>
      </c>
      <c r="J46" s="118"/>
      <c r="K46" s="118">
        <f t="shared" si="3"/>
        <v>0</v>
      </c>
    </row>
    <row r="47" spans="1:12" ht="18" customHeight="1" x14ac:dyDescent="0.2">
      <c r="A47" s="435" t="s">
        <v>141</v>
      </c>
      <c r="B47" s="456"/>
      <c r="C47" s="457"/>
      <c r="D47" s="458"/>
      <c r="F47" s="221"/>
      <c r="G47" s="221"/>
      <c r="H47" s="118"/>
      <c r="I47" s="133">
        <v>0</v>
      </c>
      <c r="J47" s="118"/>
      <c r="K47" s="118">
        <f t="shared" si="3"/>
        <v>0</v>
      </c>
    </row>
    <row r="49" spans="1:12" ht="18" customHeight="1" x14ac:dyDescent="0.2">
      <c r="A49" s="455" t="s">
        <v>142</v>
      </c>
      <c r="B49" s="421" t="s">
        <v>143</v>
      </c>
      <c r="E49" s="421" t="s">
        <v>7</v>
      </c>
      <c r="F49" s="221">
        <f t="shared" ref="F49:K49" si="4">SUM(F40:F47)</f>
        <v>199293.16</v>
      </c>
      <c r="G49" s="409">
        <f t="shared" si="4"/>
        <v>0</v>
      </c>
      <c r="H49" s="118">
        <f t="shared" si="4"/>
        <v>6230063.557750619</v>
      </c>
      <c r="I49" s="118">
        <f t="shared" si="4"/>
        <v>0</v>
      </c>
      <c r="J49" s="118">
        <f t="shared" si="4"/>
        <v>0</v>
      </c>
      <c r="K49" s="118">
        <f t="shared" si="4"/>
        <v>6230063.557750619</v>
      </c>
    </row>
    <row r="50" spans="1:12" ht="18" customHeight="1" thickBot="1" x14ac:dyDescent="0.25">
      <c r="G50" s="469"/>
      <c r="H50" s="469"/>
      <c r="I50" s="469"/>
      <c r="J50" s="469"/>
      <c r="K50" s="469"/>
    </row>
    <row r="51" spans="1:12" ht="42.75" customHeight="1" x14ac:dyDescent="0.2">
      <c r="F51" s="454" t="s">
        <v>9</v>
      </c>
      <c r="G51" s="454" t="s">
        <v>37</v>
      </c>
      <c r="H51" s="454" t="s">
        <v>29</v>
      </c>
      <c r="I51" s="454" t="s">
        <v>30</v>
      </c>
      <c r="J51" s="454" t="s">
        <v>33</v>
      </c>
      <c r="K51" s="454" t="s">
        <v>34</v>
      </c>
    </row>
    <row r="52" spans="1:12" ht="18" customHeight="1" x14ac:dyDescent="0.2">
      <c r="A52" s="455" t="s">
        <v>92</v>
      </c>
      <c r="B52" s="470" t="s">
        <v>38</v>
      </c>
      <c r="C52" s="471"/>
    </row>
    <row r="53" spans="1:12" ht="18" customHeight="1" x14ac:dyDescent="0.2">
      <c r="A53" s="435" t="s">
        <v>51</v>
      </c>
      <c r="B53" s="875" t="s">
        <v>652</v>
      </c>
      <c r="C53" s="876"/>
      <c r="D53" s="877"/>
      <c r="E53" s="656"/>
      <c r="F53" s="407">
        <v>15575.35</v>
      </c>
      <c r="G53" s="221">
        <v>1444</v>
      </c>
      <c r="H53" s="118">
        <v>1511820.7832989155</v>
      </c>
      <c r="I53" s="133">
        <f>+H53*F114</f>
        <v>988694.48715620488</v>
      </c>
      <c r="J53" s="134">
        <v>1713936</v>
      </c>
      <c r="K53" s="118">
        <f t="shared" ref="K53:K62" si="5">(H53+I53)-J53</f>
        <v>786579.27045512013</v>
      </c>
      <c r="L53" s="419" t="s">
        <v>653</v>
      </c>
    </row>
    <row r="54" spans="1:12" ht="18" customHeight="1" x14ac:dyDescent="0.2">
      <c r="A54" s="435" t="s">
        <v>93</v>
      </c>
      <c r="B54" s="878" t="s">
        <v>654</v>
      </c>
      <c r="C54" s="879"/>
      <c r="D54" s="880"/>
      <c r="E54" s="656"/>
      <c r="F54" s="221">
        <v>6836</v>
      </c>
      <c r="G54" s="407">
        <v>500</v>
      </c>
      <c r="H54" s="118">
        <v>440126</v>
      </c>
      <c r="I54" s="133">
        <f>+H54*F114</f>
        <v>287831.83473941858</v>
      </c>
      <c r="J54" s="118">
        <v>290460</v>
      </c>
      <c r="K54" s="118">
        <f t="shared" si="5"/>
        <v>437497.83473941858</v>
      </c>
      <c r="L54" s="419" t="s">
        <v>655</v>
      </c>
    </row>
    <row r="55" spans="1:12" ht="18" customHeight="1" x14ac:dyDescent="0.2">
      <c r="A55" s="435" t="s">
        <v>94</v>
      </c>
      <c r="B55" s="420" t="s">
        <v>519</v>
      </c>
      <c r="C55" s="414"/>
      <c r="D55" s="415"/>
      <c r="F55" s="221">
        <v>3744.01</v>
      </c>
      <c r="G55" s="407">
        <v>689</v>
      </c>
      <c r="H55" s="118">
        <v>487517</v>
      </c>
      <c r="I55" s="133">
        <f>+H55*F114</f>
        <v>318824.41068388859</v>
      </c>
      <c r="J55" s="118"/>
      <c r="K55" s="118">
        <f t="shared" si="5"/>
        <v>806341.41068388859</v>
      </c>
      <c r="L55" s="259" t="s">
        <v>656</v>
      </c>
    </row>
    <row r="56" spans="1:12" ht="18" customHeight="1" x14ac:dyDescent="0.2">
      <c r="A56" s="435" t="s">
        <v>95</v>
      </c>
      <c r="B56" s="420" t="s">
        <v>580</v>
      </c>
      <c r="C56" s="414"/>
      <c r="D56" s="415"/>
      <c r="F56" s="221">
        <v>1728</v>
      </c>
      <c r="G56" s="221">
        <v>480</v>
      </c>
      <c r="H56" s="118">
        <v>78219.072</v>
      </c>
      <c r="I56" s="133">
        <f>+H56*F114</f>
        <v>51153.394721908466</v>
      </c>
      <c r="J56" s="118"/>
      <c r="K56" s="118">
        <f t="shared" si="5"/>
        <v>129372.46672190847</v>
      </c>
      <c r="L56" s="419" t="s">
        <v>657</v>
      </c>
    </row>
    <row r="57" spans="1:12" ht="18" customHeight="1" x14ac:dyDescent="0.2">
      <c r="A57" s="435" t="s">
        <v>96</v>
      </c>
      <c r="B57" s="878" t="s">
        <v>581</v>
      </c>
      <c r="C57" s="879"/>
      <c r="D57" s="880"/>
      <c r="E57" s="656"/>
      <c r="F57" s="407">
        <v>1066770.7799999998</v>
      </c>
      <c r="G57" s="407">
        <v>272821.24800000002</v>
      </c>
      <c r="H57" s="134">
        <v>97390037</v>
      </c>
      <c r="I57" s="408">
        <v>0</v>
      </c>
      <c r="J57" s="134">
        <v>68205312</v>
      </c>
      <c r="K57" s="118">
        <f t="shared" si="5"/>
        <v>29184725</v>
      </c>
      <c r="L57" s="881" t="s">
        <v>658</v>
      </c>
    </row>
    <row r="58" spans="1:12" ht="18" customHeight="1" x14ac:dyDescent="0.2">
      <c r="A58" s="435" t="s">
        <v>97</v>
      </c>
      <c r="B58" s="882" t="s">
        <v>659</v>
      </c>
      <c r="C58" s="883"/>
      <c r="D58" s="877"/>
      <c r="F58" s="221"/>
      <c r="G58" s="221">
        <v>1139</v>
      </c>
      <c r="H58" s="118">
        <v>43282</v>
      </c>
      <c r="I58" s="133">
        <v>0</v>
      </c>
      <c r="J58" s="118"/>
      <c r="K58" s="118">
        <f t="shared" si="5"/>
        <v>43282</v>
      </c>
      <c r="L58" s="881" t="s">
        <v>660</v>
      </c>
    </row>
    <row r="59" spans="1:12" ht="18" customHeight="1" x14ac:dyDescent="0.2">
      <c r="A59" s="435" t="s">
        <v>98</v>
      </c>
      <c r="B59" s="418" t="s">
        <v>661</v>
      </c>
      <c r="C59" s="417"/>
      <c r="D59" s="412"/>
      <c r="F59" s="221">
        <v>450</v>
      </c>
      <c r="G59" s="221">
        <v>900</v>
      </c>
      <c r="H59" s="118">
        <v>15398.712838477561</v>
      </c>
      <c r="I59" s="133">
        <v>0</v>
      </c>
      <c r="J59" s="118"/>
      <c r="K59" s="118">
        <f t="shared" si="5"/>
        <v>15398.712838477561</v>
      </c>
      <c r="L59" s="881" t="s">
        <v>660</v>
      </c>
    </row>
    <row r="60" spans="1:12" ht="18" customHeight="1" x14ac:dyDescent="0.2">
      <c r="A60" s="435" t="s">
        <v>99</v>
      </c>
      <c r="B60" s="878" t="s">
        <v>662</v>
      </c>
      <c r="C60" s="414"/>
      <c r="D60" s="415"/>
      <c r="F60" s="221"/>
      <c r="G60" s="221">
        <v>100</v>
      </c>
      <c r="H60" s="118">
        <v>10040</v>
      </c>
      <c r="I60" s="133">
        <v>0</v>
      </c>
      <c r="J60" s="118"/>
      <c r="K60" s="118">
        <f t="shared" si="5"/>
        <v>10040</v>
      </c>
      <c r="L60" s="881" t="s">
        <v>663</v>
      </c>
    </row>
    <row r="61" spans="1:12" ht="18" customHeight="1" x14ac:dyDescent="0.2">
      <c r="A61" s="435" t="s">
        <v>100</v>
      </c>
      <c r="B61" s="420"/>
      <c r="C61" s="414"/>
      <c r="D61" s="415"/>
      <c r="F61" s="221"/>
      <c r="G61" s="221"/>
      <c r="H61" s="118"/>
      <c r="I61" s="133">
        <v>0</v>
      </c>
      <c r="J61" s="118"/>
      <c r="K61" s="118">
        <f t="shared" si="5"/>
        <v>0</v>
      </c>
    </row>
    <row r="62" spans="1:12" ht="18" customHeight="1" x14ac:dyDescent="0.2">
      <c r="A62" s="435" t="s">
        <v>101</v>
      </c>
      <c r="B62" s="418"/>
      <c r="C62" s="417"/>
      <c r="D62" s="412"/>
      <c r="F62" s="221"/>
      <c r="G62" s="221"/>
      <c r="H62" s="118"/>
      <c r="I62" s="133">
        <v>0</v>
      </c>
      <c r="J62" s="118"/>
      <c r="K62" s="118">
        <f t="shared" si="5"/>
        <v>0</v>
      </c>
    </row>
    <row r="63" spans="1:12" ht="18" customHeight="1" x14ac:dyDescent="0.2">
      <c r="A63" s="435"/>
      <c r="I63" s="129"/>
    </row>
    <row r="64" spans="1:12" ht="18" customHeight="1" x14ac:dyDescent="0.2">
      <c r="A64" s="435" t="s">
        <v>144</v>
      </c>
      <c r="B64" s="421" t="s">
        <v>145</v>
      </c>
      <c r="E64" s="421" t="s">
        <v>7</v>
      </c>
      <c r="F64" s="221">
        <f t="shared" ref="F64:K64" si="6">SUM(F53:F62)</f>
        <v>1095104.1399999999</v>
      </c>
      <c r="G64" s="221">
        <f t="shared" si="6"/>
        <v>278073.24800000002</v>
      </c>
      <c r="H64" s="118">
        <f t="shared" si="6"/>
        <v>99976440.568137392</v>
      </c>
      <c r="I64" s="118">
        <f t="shared" si="6"/>
        <v>1646504.1273014206</v>
      </c>
      <c r="J64" s="118">
        <f t="shared" si="6"/>
        <v>70209708</v>
      </c>
      <c r="K64" s="118">
        <f t="shared" si="6"/>
        <v>31413236.695438813</v>
      </c>
    </row>
    <row r="65" spans="1:12" ht="18" customHeight="1" x14ac:dyDescent="0.2">
      <c r="F65" s="478"/>
      <c r="G65" s="478"/>
      <c r="H65" s="478"/>
      <c r="I65" s="478"/>
      <c r="J65" s="478"/>
      <c r="K65" s="478"/>
    </row>
    <row r="66" spans="1:12" ht="42.75" customHeight="1" x14ac:dyDescent="0.2">
      <c r="F66" s="479" t="s">
        <v>9</v>
      </c>
      <c r="G66" s="479" t="s">
        <v>37</v>
      </c>
      <c r="H66" s="479" t="s">
        <v>29</v>
      </c>
      <c r="I66" s="479" t="s">
        <v>30</v>
      </c>
      <c r="J66" s="479" t="s">
        <v>33</v>
      </c>
      <c r="K66" s="479" t="s">
        <v>34</v>
      </c>
    </row>
    <row r="67" spans="1:12" ht="18" customHeight="1" x14ac:dyDescent="0.2">
      <c r="A67" s="455" t="s">
        <v>102</v>
      </c>
      <c r="B67" s="421" t="s">
        <v>12</v>
      </c>
      <c r="F67" s="480"/>
      <c r="G67" s="480"/>
      <c r="H67" s="480"/>
      <c r="I67" s="137"/>
      <c r="J67" s="480"/>
      <c r="K67" s="137"/>
    </row>
    <row r="68" spans="1:12" ht="18" customHeight="1" x14ac:dyDescent="0.2">
      <c r="A68" s="435" t="s">
        <v>103</v>
      </c>
      <c r="B68" s="259" t="s">
        <v>52</v>
      </c>
      <c r="F68" s="122"/>
      <c r="G68" s="122"/>
      <c r="H68" s="221">
        <v>520841</v>
      </c>
      <c r="I68" s="133">
        <v>0</v>
      </c>
      <c r="J68" s="122"/>
      <c r="K68" s="118">
        <f>(H68+I68)-J68</f>
        <v>520841</v>
      </c>
      <c r="L68" s="259" t="s">
        <v>664</v>
      </c>
    </row>
    <row r="69" spans="1:12" ht="18" customHeight="1" x14ac:dyDescent="0.2">
      <c r="A69" s="435" t="s">
        <v>104</v>
      </c>
      <c r="B69" s="419" t="s">
        <v>53</v>
      </c>
      <c r="F69" s="122"/>
      <c r="G69" s="122"/>
      <c r="H69" s="122"/>
      <c r="I69" s="133">
        <v>0</v>
      </c>
      <c r="J69" s="122"/>
      <c r="K69" s="118">
        <f>(H69+I69)-J69</f>
        <v>0</v>
      </c>
      <c r="L69" s="419"/>
    </row>
    <row r="70" spans="1:12" ht="18" customHeight="1" x14ac:dyDescent="0.2">
      <c r="A70" s="435" t="s">
        <v>178</v>
      </c>
      <c r="B70" s="420"/>
      <c r="C70" s="414"/>
      <c r="D70" s="415"/>
      <c r="E70" s="421"/>
      <c r="F70" s="422"/>
      <c r="G70" s="422"/>
      <c r="H70" s="423"/>
      <c r="I70" s="133">
        <v>0</v>
      </c>
      <c r="J70" s="423"/>
      <c r="K70" s="118">
        <f>(H70+I70)-J70</f>
        <v>0</v>
      </c>
    </row>
    <row r="71" spans="1:12" ht="18" customHeight="1" x14ac:dyDescent="0.2">
      <c r="A71" s="435" t="s">
        <v>179</v>
      </c>
      <c r="B71" s="420"/>
      <c r="C71" s="414"/>
      <c r="D71" s="415"/>
      <c r="E71" s="421"/>
      <c r="F71" s="422"/>
      <c r="G71" s="422"/>
      <c r="H71" s="423"/>
      <c r="I71" s="133">
        <v>0</v>
      </c>
      <c r="J71" s="423"/>
      <c r="K71" s="118">
        <f>(H71+I71)-J71</f>
        <v>0</v>
      </c>
    </row>
    <row r="72" spans="1:12" ht="18" customHeight="1" x14ac:dyDescent="0.2">
      <c r="A72" s="435" t="s">
        <v>180</v>
      </c>
      <c r="B72" s="424"/>
      <c r="C72" s="425"/>
      <c r="D72" s="426"/>
      <c r="E72" s="421"/>
      <c r="F72" s="221"/>
      <c r="G72" s="221"/>
      <c r="H72" s="118"/>
      <c r="I72" s="133">
        <v>0</v>
      </c>
      <c r="J72" s="118"/>
      <c r="K72" s="118">
        <f>(H72+I72)-J72</f>
        <v>0</v>
      </c>
    </row>
    <row r="73" spans="1:12" ht="18" customHeight="1" x14ac:dyDescent="0.2">
      <c r="A73" s="435"/>
      <c r="B73" s="419"/>
      <c r="E73" s="421"/>
      <c r="F73" s="427"/>
      <c r="G73" s="427"/>
      <c r="H73" s="137"/>
      <c r="I73" s="137"/>
      <c r="J73" s="137"/>
      <c r="K73" s="137"/>
    </row>
    <row r="74" spans="1:12" ht="18" customHeight="1" x14ac:dyDescent="0.2">
      <c r="A74" s="455" t="s">
        <v>146</v>
      </c>
      <c r="B74" s="421" t="s">
        <v>147</v>
      </c>
      <c r="E74" s="421" t="s">
        <v>7</v>
      </c>
      <c r="F74" s="122">
        <f t="shared" ref="F74:K74" si="7">SUM(F68:F72)</f>
        <v>0</v>
      </c>
      <c r="G74" s="122">
        <f t="shared" si="7"/>
        <v>0</v>
      </c>
      <c r="H74" s="221">
        <f t="shared" si="7"/>
        <v>520841</v>
      </c>
      <c r="I74" s="133">
        <f t="shared" si="7"/>
        <v>0</v>
      </c>
      <c r="J74" s="122">
        <f t="shared" si="7"/>
        <v>0</v>
      </c>
      <c r="K74" s="118">
        <f t="shared" si="7"/>
        <v>520841</v>
      </c>
    </row>
    <row r="75" spans="1:12" ht="42.75" customHeight="1" x14ac:dyDescent="0.2">
      <c r="F75" s="454" t="s">
        <v>9</v>
      </c>
      <c r="G75" s="454" t="s">
        <v>37</v>
      </c>
      <c r="H75" s="454" t="s">
        <v>29</v>
      </c>
      <c r="I75" s="454" t="s">
        <v>30</v>
      </c>
      <c r="J75" s="454" t="s">
        <v>33</v>
      </c>
      <c r="K75" s="454" t="s">
        <v>34</v>
      </c>
    </row>
    <row r="76" spans="1:12" ht="18" customHeight="1" x14ac:dyDescent="0.2">
      <c r="A76" s="455" t="s">
        <v>105</v>
      </c>
      <c r="B76" s="421" t="s">
        <v>106</v>
      </c>
    </row>
    <row r="77" spans="1:12" ht="18" customHeight="1" x14ac:dyDescent="0.2">
      <c r="A77" s="435" t="s">
        <v>107</v>
      </c>
      <c r="B77" s="419" t="s">
        <v>54</v>
      </c>
      <c r="F77" s="221"/>
      <c r="G77" s="221"/>
      <c r="H77" s="118">
        <v>139315</v>
      </c>
      <c r="I77" s="133">
        <v>0</v>
      </c>
      <c r="J77" s="118"/>
      <c r="K77" s="118">
        <f>(H77+I77)-J77</f>
        <v>139315</v>
      </c>
    </row>
    <row r="78" spans="1:12" ht="18" customHeight="1" x14ac:dyDescent="0.2">
      <c r="A78" s="435" t="s">
        <v>108</v>
      </c>
      <c r="B78" s="419" t="s">
        <v>55</v>
      </c>
      <c r="F78" s="221"/>
      <c r="G78" s="221"/>
      <c r="H78" s="118"/>
      <c r="I78" s="133">
        <v>0</v>
      </c>
      <c r="J78" s="118"/>
      <c r="K78" s="118">
        <f>(H78+I78)-J78</f>
        <v>0</v>
      </c>
    </row>
    <row r="79" spans="1:12" ht="18" customHeight="1" x14ac:dyDescent="0.2">
      <c r="A79" s="435" t="s">
        <v>109</v>
      </c>
      <c r="B79" s="419" t="s">
        <v>13</v>
      </c>
      <c r="F79" s="221">
        <v>91</v>
      </c>
      <c r="G79" s="221">
        <v>367</v>
      </c>
      <c r="H79" s="118">
        <v>4868.63</v>
      </c>
      <c r="I79" s="133">
        <v>0</v>
      </c>
      <c r="J79" s="118"/>
      <c r="K79" s="118">
        <f>(H79+I79)-J79</f>
        <v>4868.63</v>
      </c>
    </row>
    <row r="80" spans="1:12" ht="18" customHeight="1" x14ac:dyDescent="0.2">
      <c r="A80" s="435" t="s">
        <v>110</v>
      </c>
      <c r="B80" s="419" t="s">
        <v>56</v>
      </c>
      <c r="F80" s="221"/>
      <c r="G80" s="221"/>
      <c r="H80" s="118"/>
      <c r="I80" s="133">
        <v>0</v>
      </c>
      <c r="J80" s="118"/>
      <c r="K80" s="118">
        <f>(H80+I80)-J80</f>
        <v>0</v>
      </c>
    </row>
    <row r="81" spans="1:12" ht="18" customHeight="1" x14ac:dyDescent="0.2">
      <c r="A81" s="435"/>
      <c r="K81" s="428"/>
    </row>
    <row r="82" spans="1:12" ht="18" customHeight="1" x14ac:dyDescent="0.2">
      <c r="A82" s="435" t="s">
        <v>148</v>
      </c>
      <c r="B82" s="421" t="s">
        <v>149</v>
      </c>
      <c r="E82" s="421" t="s">
        <v>7</v>
      </c>
      <c r="F82" s="122">
        <f t="shared" ref="F82:K82" si="8">SUM(F77:F80)</f>
        <v>91</v>
      </c>
      <c r="G82" s="122">
        <f t="shared" si="8"/>
        <v>367</v>
      </c>
      <c r="H82" s="118">
        <f t="shared" si="8"/>
        <v>144183.63</v>
      </c>
      <c r="I82" s="118">
        <f t="shared" si="8"/>
        <v>0</v>
      </c>
      <c r="J82" s="118">
        <f t="shared" si="8"/>
        <v>0</v>
      </c>
      <c r="K82" s="118">
        <f t="shared" si="8"/>
        <v>144183.63</v>
      </c>
    </row>
    <row r="83" spans="1:12" ht="18" customHeight="1" thickBot="1" x14ac:dyDescent="0.25">
      <c r="A83" s="435"/>
      <c r="F83" s="469"/>
      <c r="G83" s="469"/>
      <c r="H83" s="469"/>
      <c r="I83" s="469"/>
      <c r="J83" s="469"/>
      <c r="K83" s="469"/>
    </row>
    <row r="84" spans="1:12" ht="42.75" customHeight="1" x14ac:dyDescent="0.2">
      <c r="F84" s="454" t="s">
        <v>9</v>
      </c>
      <c r="G84" s="454" t="s">
        <v>37</v>
      </c>
      <c r="H84" s="454" t="s">
        <v>29</v>
      </c>
      <c r="I84" s="454" t="s">
        <v>30</v>
      </c>
      <c r="J84" s="454" t="s">
        <v>33</v>
      </c>
      <c r="K84" s="454" t="s">
        <v>34</v>
      </c>
    </row>
    <row r="85" spans="1:12" ht="18" customHeight="1" x14ac:dyDescent="0.2">
      <c r="A85" s="455" t="s">
        <v>111</v>
      </c>
      <c r="B85" s="421" t="s">
        <v>57</v>
      </c>
    </row>
    <row r="86" spans="1:12" ht="18" customHeight="1" x14ac:dyDescent="0.2">
      <c r="A86" s="435" t="s">
        <v>112</v>
      </c>
      <c r="B86" s="419" t="s">
        <v>113</v>
      </c>
      <c r="F86" s="221"/>
      <c r="G86" s="221"/>
      <c r="H86" s="118"/>
      <c r="I86" s="133">
        <f t="shared" ref="I86:I96" si="9">H86*F$114</f>
        <v>0</v>
      </c>
      <c r="J86" s="118"/>
      <c r="K86" s="118">
        <f t="shared" ref="K86:K96" si="10">(H86+I86)-J86</f>
        <v>0</v>
      </c>
    </row>
    <row r="87" spans="1:12" ht="18" customHeight="1" x14ac:dyDescent="0.2">
      <c r="A87" s="435" t="s">
        <v>114</v>
      </c>
      <c r="B87" s="419" t="s">
        <v>14</v>
      </c>
      <c r="F87" s="221"/>
      <c r="G87" s="221"/>
      <c r="H87" s="118"/>
      <c r="I87" s="133">
        <f t="shared" si="9"/>
        <v>0</v>
      </c>
      <c r="J87" s="118"/>
      <c r="K87" s="118">
        <f t="shared" si="10"/>
        <v>0</v>
      </c>
    </row>
    <row r="88" spans="1:12" ht="18" customHeight="1" x14ac:dyDescent="0.2">
      <c r="A88" s="435" t="s">
        <v>115</v>
      </c>
      <c r="B88" s="419" t="s">
        <v>116</v>
      </c>
      <c r="F88" s="221"/>
      <c r="G88" s="221"/>
      <c r="H88" s="118">
        <v>25250</v>
      </c>
      <c r="I88" s="133">
        <f t="shared" si="9"/>
        <v>16512.893642207731</v>
      </c>
      <c r="J88" s="118"/>
      <c r="K88" s="118">
        <f t="shared" si="10"/>
        <v>41762.893642207731</v>
      </c>
      <c r="L88" s="419" t="s">
        <v>665</v>
      </c>
    </row>
    <row r="89" spans="1:12" ht="18" customHeight="1" x14ac:dyDescent="0.2">
      <c r="A89" s="435" t="s">
        <v>117</v>
      </c>
      <c r="B89" s="419" t="s">
        <v>58</v>
      </c>
      <c r="F89" s="221"/>
      <c r="G89" s="221"/>
      <c r="H89" s="118"/>
      <c r="I89" s="133">
        <f t="shared" si="9"/>
        <v>0</v>
      </c>
      <c r="J89" s="118"/>
      <c r="K89" s="118">
        <f t="shared" si="10"/>
        <v>0</v>
      </c>
    </row>
    <row r="90" spans="1:12" ht="18" customHeight="1" x14ac:dyDescent="0.2">
      <c r="A90" s="435" t="s">
        <v>118</v>
      </c>
      <c r="B90" s="465" t="s">
        <v>59</v>
      </c>
      <c r="C90" s="466"/>
      <c r="F90" s="221"/>
      <c r="G90" s="221"/>
      <c r="H90" s="118"/>
      <c r="I90" s="133">
        <f t="shared" si="9"/>
        <v>0</v>
      </c>
      <c r="J90" s="118"/>
      <c r="K90" s="118">
        <f t="shared" si="10"/>
        <v>0</v>
      </c>
    </row>
    <row r="91" spans="1:12" ht="18" customHeight="1" x14ac:dyDescent="0.2">
      <c r="A91" s="435" t="s">
        <v>119</v>
      </c>
      <c r="B91" s="419" t="s">
        <v>60</v>
      </c>
      <c r="F91" s="221"/>
      <c r="G91" s="221"/>
      <c r="H91" s="118"/>
      <c r="I91" s="133">
        <f t="shared" si="9"/>
        <v>0</v>
      </c>
      <c r="J91" s="118"/>
      <c r="K91" s="118">
        <f t="shared" si="10"/>
        <v>0</v>
      </c>
    </row>
    <row r="92" spans="1:12" ht="18" customHeight="1" x14ac:dyDescent="0.2">
      <c r="A92" s="435" t="s">
        <v>120</v>
      </c>
      <c r="B92" s="419" t="s">
        <v>121</v>
      </c>
      <c r="F92" s="257"/>
      <c r="G92" s="257"/>
      <c r="H92" s="429"/>
      <c r="I92" s="133">
        <f t="shared" si="9"/>
        <v>0</v>
      </c>
      <c r="J92" s="429"/>
      <c r="K92" s="118">
        <f t="shared" si="10"/>
        <v>0</v>
      </c>
    </row>
    <row r="93" spans="1:12" ht="18" customHeight="1" x14ac:dyDescent="0.2">
      <c r="A93" s="435" t="s">
        <v>122</v>
      </c>
      <c r="B93" s="419" t="s">
        <v>123</v>
      </c>
      <c r="F93" s="221"/>
      <c r="G93" s="221"/>
      <c r="H93" s="118"/>
      <c r="I93" s="133">
        <f t="shared" si="9"/>
        <v>0</v>
      </c>
      <c r="J93" s="118"/>
      <c r="K93" s="118">
        <f t="shared" si="10"/>
        <v>0</v>
      </c>
    </row>
    <row r="94" spans="1:12" ht="18" customHeight="1" x14ac:dyDescent="0.2">
      <c r="A94" s="435" t="s">
        <v>124</v>
      </c>
      <c r="B94" s="418"/>
      <c r="C94" s="417"/>
      <c r="D94" s="412"/>
      <c r="F94" s="221"/>
      <c r="G94" s="221"/>
      <c r="H94" s="118"/>
      <c r="I94" s="133">
        <f t="shared" si="9"/>
        <v>0</v>
      </c>
      <c r="J94" s="118"/>
      <c r="K94" s="118">
        <f t="shared" si="10"/>
        <v>0</v>
      </c>
    </row>
    <row r="95" spans="1:12" ht="18" customHeight="1" x14ac:dyDescent="0.2">
      <c r="A95" s="435" t="s">
        <v>125</v>
      </c>
      <c r="B95" s="418"/>
      <c r="C95" s="417"/>
      <c r="D95" s="412"/>
      <c r="F95" s="221"/>
      <c r="G95" s="221"/>
      <c r="H95" s="118"/>
      <c r="I95" s="133">
        <f t="shared" si="9"/>
        <v>0</v>
      </c>
      <c r="J95" s="118"/>
      <c r="K95" s="118">
        <f t="shared" si="10"/>
        <v>0</v>
      </c>
    </row>
    <row r="96" spans="1:12" ht="18" customHeight="1" x14ac:dyDescent="0.2">
      <c r="A96" s="435" t="s">
        <v>126</v>
      </c>
      <c r="B96" s="418"/>
      <c r="C96" s="417"/>
      <c r="D96" s="412"/>
      <c r="F96" s="221"/>
      <c r="G96" s="221"/>
      <c r="H96" s="118"/>
      <c r="I96" s="133">
        <f t="shared" si="9"/>
        <v>0</v>
      </c>
      <c r="J96" s="118"/>
      <c r="K96" s="118">
        <f t="shared" si="10"/>
        <v>0</v>
      </c>
    </row>
    <row r="97" spans="1:12" ht="18" customHeight="1" x14ac:dyDescent="0.2">
      <c r="A97" s="435"/>
      <c r="B97" s="419"/>
    </row>
    <row r="98" spans="1:12" ht="18" customHeight="1" x14ac:dyDescent="0.2">
      <c r="A98" s="455" t="s">
        <v>150</v>
      </c>
      <c r="B98" s="421" t="s">
        <v>151</v>
      </c>
      <c r="E98" s="421" t="s">
        <v>7</v>
      </c>
      <c r="F98" s="221">
        <f t="shared" ref="F98:K98" si="11">SUM(F86:F96)</f>
        <v>0</v>
      </c>
      <c r="G98" s="221">
        <f t="shared" si="11"/>
        <v>0</v>
      </c>
      <c r="H98" s="221">
        <f t="shared" si="11"/>
        <v>25250</v>
      </c>
      <c r="I98" s="221">
        <f t="shared" si="11"/>
        <v>16512.893642207731</v>
      </c>
      <c r="J98" s="221">
        <f t="shared" si="11"/>
        <v>0</v>
      </c>
      <c r="K98" s="221">
        <f t="shared" si="11"/>
        <v>41762.893642207731</v>
      </c>
    </row>
    <row r="99" spans="1:12" ht="18" customHeight="1" thickBot="1" x14ac:dyDescent="0.25">
      <c r="B99" s="421"/>
      <c r="F99" s="469"/>
      <c r="G99" s="469"/>
      <c r="H99" s="469"/>
      <c r="I99" s="469"/>
      <c r="J99" s="469"/>
      <c r="K99" s="469"/>
    </row>
    <row r="100" spans="1:12" ht="42.75" customHeight="1" x14ac:dyDescent="0.2">
      <c r="F100" s="454" t="s">
        <v>9</v>
      </c>
      <c r="G100" s="454" t="s">
        <v>37</v>
      </c>
      <c r="H100" s="454" t="s">
        <v>29</v>
      </c>
      <c r="I100" s="454" t="s">
        <v>30</v>
      </c>
      <c r="J100" s="454" t="s">
        <v>33</v>
      </c>
      <c r="K100" s="454" t="s">
        <v>34</v>
      </c>
    </row>
    <row r="101" spans="1:12" ht="18" customHeight="1" x14ac:dyDescent="0.2">
      <c r="A101" s="455" t="s">
        <v>130</v>
      </c>
      <c r="B101" s="421" t="s">
        <v>63</v>
      </c>
    </row>
    <row r="102" spans="1:12" ht="18" customHeight="1" x14ac:dyDescent="0.2">
      <c r="A102" s="435" t="s">
        <v>131</v>
      </c>
      <c r="B102" s="419" t="s">
        <v>152</v>
      </c>
      <c r="F102" s="221">
        <v>4380</v>
      </c>
      <c r="G102" s="221"/>
      <c r="H102" s="118">
        <v>168754.10083333336</v>
      </c>
      <c r="I102" s="133">
        <f>H102*F$114</f>
        <v>110361.12945533595</v>
      </c>
      <c r="J102" s="118"/>
      <c r="K102" s="118">
        <f>(H102+I102)-J102</f>
        <v>279115.23028866929</v>
      </c>
      <c r="L102" s="419"/>
    </row>
    <row r="103" spans="1:12" ht="18" customHeight="1" x14ac:dyDescent="0.2">
      <c r="A103" s="435" t="s">
        <v>132</v>
      </c>
      <c r="B103" s="465" t="s">
        <v>62</v>
      </c>
      <c r="C103" s="465"/>
      <c r="F103" s="221"/>
      <c r="G103" s="221"/>
      <c r="H103" s="118">
        <v>16007</v>
      </c>
      <c r="I103" s="133">
        <f>H103*F$114</f>
        <v>10468.193605180957</v>
      </c>
      <c r="J103" s="118"/>
      <c r="K103" s="118">
        <f>(H103+I103)-J103</f>
        <v>26475.193605180957</v>
      </c>
      <c r="L103" s="419" t="s">
        <v>666</v>
      </c>
    </row>
    <row r="104" spans="1:12" ht="18" customHeight="1" x14ac:dyDescent="0.2">
      <c r="A104" s="435" t="s">
        <v>128</v>
      </c>
      <c r="B104" s="418"/>
      <c r="C104" s="417"/>
      <c r="D104" s="412"/>
      <c r="F104" s="221"/>
      <c r="G104" s="221"/>
      <c r="H104" s="118"/>
      <c r="I104" s="133">
        <f>H104*F$114</f>
        <v>0</v>
      </c>
      <c r="J104" s="118"/>
      <c r="K104" s="118">
        <f>(H104+I104)-J104</f>
        <v>0</v>
      </c>
    </row>
    <row r="105" spans="1:12" ht="18" customHeight="1" x14ac:dyDescent="0.2">
      <c r="A105" s="435" t="s">
        <v>127</v>
      </c>
      <c r="B105" s="418"/>
      <c r="C105" s="417"/>
      <c r="D105" s="412"/>
      <c r="F105" s="221"/>
      <c r="G105" s="221"/>
      <c r="H105" s="118"/>
      <c r="I105" s="133">
        <f>H105*F$114</f>
        <v>0</v>
      </c>
      <c r="J105" s="118"/>
      <c r="K105" s="118">
        <f>(H105+I105)-J105</f>
        <v>0</v>
      </c>
    </row>
    <row r="106" spans="1:12" ht="18" customHeight="1" x14ac:dyDescent="0.2">
      <c r="A106" s="435" t="s">
        <v>129</v>
      </c>
      <c r="B106" s="418"/>
      <c r="C106" s="417"/>
      <c r="D106" s="412"/>
      <c r="F106" s="221"/>
      <c r="G106" s="221"/>
      <c r="H106" s="118"/>
      <c r="I106" s="133">
        <f>H106*F$114</f>
        <v>0</v>
      </c>
      <c r="J106" s="118"/>
      <c r="K106" s="118">
        <f>(H106+I106)-J106</f>
        <v>0</v>
      </c>
    </row>
    <row r="107" spans="1:12" ht="18" customHeight="1" x14ac:dyDescent="0.2">
      <c r="B107" s="421"/>
    </row>
    <row r="108" spans="1:12" s="468" customFormat="1" ht="18" customHeight="1" x14ac:dyDescent="0.2">
      <c r="A108" s="455" t="s">
        <v>153</v>
      </c>
      <c r="B108" s="481" t="s">
        <v>154</v>
      </c>
      <c r="C108" s="259"/>
      <c r="D108" s="259"/>
      <c r="E108" s="421" t="s">
        <v>7</v>
      </c>
      <c r="F108" s="221">
        <f t="shared" ref="F108:K108" si="12">SUM(F102:F106)</f>
        <v>4380</v>
      </c>
      <c r="G108" s="221">
        <f t="shared" si="12"/>
        <v>0</v>
      </c>
      <c r="H108" s="118">
        <f t="shared" si="12"/>
        <v>184761.10083333336</v>
      </c>
      <c r="I108" s="118">
        <f t="shared" si="12"/>
        <v>120829.32306051691</v>
      </c>
      <c r="J108" s="118">
        <f t="shared" si="12"/>
        <v>0</v>
      </c>
      <c r="K108" s="118">
        <f t="shared" si="12"/>
        <v>305590.42389385024</v>
      </c>
    </row>
    <row r="109" spans="1:12" s="468" customFormat="1" ht="18" customHeight="1" thickBot="1" x14ac:dyDescent="0.25">
      <c r="A109" s="482"/>
      <c r="B109" s="483"/>
      <c r="C109" s="484"/>
      <c r="D109" s="484"/>
      <c r="E109" s="484"/>
      <c r="F109" s="469"/>
      <c r="G109" s="469"/>
      <c r="H109" s="469"/>
      <c r="I109" s="469"/>
      <c r="J109" s="469"/>
      <c r="K109" s="469"/>
    </row>
    <row r="110" spans="1:12" s="468" customFormat="1" ht="18" customHeight="1" x14ac:dyDescent="0.2">
      <c r="A110" s="455" t="s">
        <v>156</v>
      </c>
      <c r="B110" s="421" t="s">
        <v>39</v>
      </c>
      <c r="C110" s="259"/>
      <c r="D110" s="259"/>
      <c r="E110" s="259"/>
      <c r="F110" s="259"/>
      <c r="G110" s="259"/>
      <c r="H110" s="259"/>
      <c r="I110" s="259"/>
      <c r="J110" s="259"/>
      <c r="K110" s="259"/>
    </row>
    <row r="111" spans="1:12" ht="18" customHeight="1" x14ac:dyDescent="0.2">
      <c r="A111" s="455" t="s">
        <v>155</v>
      </c>
      <c r="B111" s="421" t="s">
        <v>164</v>
      </c>
      <c r="E111" s="421" t="s">
        <v>7</v>
      </c>
      <c r="F111" s="118">
        <v>1710711</v>
      </c>
      <c r="G111" s="649"/>
    </row>
    <row r="112" spans="1:12" ht="18" customHeight="1" x14ac:dyDescent="0.2">
      <c r="B112" s="421"/>
      <c r="E112" s="421"/>
      <c r="F112" s="258"/>
    </row>
    <row r="113" spans="1:7" ht="18" customHeight="1" x14ac:dyDescent="0.2">
      <c r="A113" s="455"/>
      <c r="B113" s="421" t="s">
        <v>15</v>
      </c>
      <c r="G113" s="695"/>
    </row>
    <row r="114" spans="1:7" ht="18" customHeight="1" x14ac:dyDescent="0.2">
      <c r="A114" s="435" t="s">
        <v>171</v>
      </c>
      <c r="B114" s="419" t="s">
        <v>35</v>
      </c>
      <c r="F114" s="260">
        <v>0.65397598583000915</v>
      </c>
    </row>
    <row r="115" spans="1:7" ht="18" customHeight="1" x14ac:dyDescent="0.2">
      <c r="A115" s="435"/>
      <c r="B115" s="421"/>
    </row>
    <row r="116" spans="1:7" ht="18" customHeight="1" x14ac:dyDescent="0.2">
      <c r="A116" s="435" t="s">
        <v>170</v>
      </c>
      <c r="B116" s="421" t="s">
        <v>16</v>
      </c>
    </row>
    <row r="117" spans="1:7" ht="18" customHeight="1" x14ac:dyDescent="0.2">
      <c r="A117" s="435" t="s">
        <v>172</v>
      </c>
      <c r="B117" s="419" t="s">
        <v>17</v>
      </c>
      <c r="F117" s="118">
        <v>476907170</v>
      </c>
    </row>
    <row r="118" spans="1:7" ht="18" customHeight="1" x14ac:dyDescent="0.2">
      <c r="A118" s="435" t="s">
        <v>173</v>
      </c>
      <c r="B118" s="259" t="s">
        <v>18</v>
      </c>
      <c r="F118" s="118">
        <v>18327610</v>
      </c>
    </row>
    <row r="119" spans="1:7" ht="18" customHeight="1" x14ac:dyDescent="0.2">
      <c r="A119" s="435" t="s">
        <v>174</v>
      </c>
      <c r="B119" s="421" t="s">
        <v>19</v>
      </c>
      <c r="F119" s="118">
        <f>SUM(F117:F118)</f>
        <v>495234780</v>
      </c>
    </row>
    <row r="120" spans="1:7" ht="18" customHeight="1" x14ac:dyDescent="0.2">
      <c r="A120" s="435"/>
      <c r="B120" s="421"/>
    </row>
    <row r="121" spans="1:7" ht="18" customHeight="1" x14ac:dyDescent="0.2">
      <c r="A121" s="435" t="s">
        <v>167</v>
      </c>
      <c r="B121" s="421" t="s">
        <v>36</v>
      </c>
      <c r="F121" s="118">
        <v>504347676</v>
      </c>
      <c r="G121" s="516"/>
    </row>
    <row r="122" spans="1:7" ht="18" customHeight="1" x14ac:dyDescent="0.2">
      <c r="A122" s="435"/>
    </row>
    <row r="123" spans="1:7" ht="18" customHeight="1" x14ac:dyDescent="0.2">
      <c r="A123" s="435" t="s">
        <v>175</v>
      </c>
      <c r="B123" s="421" t="s">
        <v>20</v>
      </c>
      <c r="F123" s="118">
        <f>+F119-F121</f>
        <v>-9112896</v>
      </c>
    </row>
    <row r="124" spans="1:7" ht="18" customHeight="1" x14ac:dyDescent="0.2">
      <c r="A124" s="435"/>
    </row>
    <row r="125" spans="1:7" ht="18" customHeight="1" x14ac:dyDescent="0.2">
      <c r="A125" s="435" t="s">
        <v>176</v>
      </c>
      <c r="B125" s="421" t="s">
        <v>21</v>
      </c>
      <c r="F125" s="118">
        <v>18228953</v>
      </c>
    </row>
    <row r="126" spans="1:7" ht="18" customHeight="1" x14ac:dyDescent="0.2">
      <c r="A126" s="435"/>
    </row>
    <row r="127" spans="1:7" ht="18" customHeight="1" x14ac:dyDescent="0.2">
      <c r="A127" s="435" t="s">
        <v>177</v>
      </c>
      <c r="B127" s="421" t="s">
        <v>22</v>
      </c>
      <c r="F127" s="118">
        <f>+F123+F125</f>
        <v>9116057</v>
      </c>
    </row>
    <row r="128" spans="1:7"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F36</f>
        <v>7311.84</v>
      </c>
      <c r="G141" s="422">
        <f t="shared" ref="G141:K141" si="14">G36</f>
        <v>62834</v>
      </c>
      <c r="H141" s="422">
        <f t="shared" si="14"/>
        <v>395463.85256999999</v>
      </c>
      <c r="I141" s="422">
        <f t="shared" si="14"/>
        <v>258623.86284459915</v>
      </c>
      <c r="J141" s="422">
        <f t="shared" si="14"/>
        <v>720</v>
      </c>
      <c r="K141" s="422">
        <f t="shared" si="14"/>
        <v>653367.71541459905</v>
      </c>
    </row>
    <row r="142" spans="1:11" ht="18" customHeight="1" x14ac:dyDescent="0.2">
      <c r="A142" s="435" t="s">
        <v>142</v>
      </c>
      <c r="B142" s="421" t="s">
        <v>65</v>
      </c>
      <c r="F142" s="422">
        <f t="shared" ref="F142:K142" si="15">F49</f>
        <v>199293.16</v>
      </c>
      <c r="G142" s="422">
        <f t="shared" si="15"/>
        <v>0</v>
      </c>
      <c r="H142" s="422">
        <f t="shared" si="15"/>
        <v>6230063.557750619</v>
      </c>
      <c r="I142" s="422">
        <f t="shared" si="15"/>
        <v>0</v>
      </c>
      <c r="J142" s="422">
        <f t="shared" si="15"/>
        <v>0</v>
      </c>
      <c r="K142" s="422">
        <f t="shared" si="15"/>
        <v>6230063.557750619</v>
      </c>
    </row>
    <row r="143" spans="1:11" ht="18" customHeight="1" x14ac:dyDescent="0.2">
      <c r="A143" s="435" t="s">
        <v>144</v>
      </c>
      <c r="B143" s="421" t="s">
        <v>66</v>
      </c>
      <c r="F143" s="422">
        <f t="shared" ref="F143:K143" si="16">F64</f>
        <v>1095104.1399999999</v>
      </c>
      <c r="G143" s="422">
        <f t="shared" si="16"/>
        <v>278073.24800000002</v>
      </c>
      <c r="H143" s="422">
        <f t="shared" si="16"/>
        <v>99976440.568137392</v>
      </c>
      <c r="I143" s="422">
        <f t="shared" si="16"/>
        <v>1646504.1273014206</v>
      </c>
      <c r="J143" s="422">
        <f t="shared" si="16"/>
        <v>70209708</v>
      </c>
      <c r="K143" s="422">
        <f t="shared" si="16"/>
        <v>31413236.695438813</v>
      </c>
    </row>
    <row r="144" spans="1:11" ht="18" customHeight="1" x14ac:dyDescent="0.2">
      <c r="A144" s="435" t="s">
        <v>146</v>
      </c>
      <c r="B144" s="421" t="s">
        <v>67</v>
      </c>
      <c r="F144" s="422">
        <f t="shared" ref="F144:K144" si="17">F74</f>
        <v>0</v>
      </c>
      <c r="G144" s="422">
        <f t="shared" si="17"/>
        <v>0</v>
      </c>
      <c r="H144" s="422">
        <f t="shared" si="17"/>
        <v>520841</v>
      </c>
      <c r="I144" s="422">
        <f t="shared" si="17"/>
        <v>0</v>
      </c>
      <c r="J144" s="422">
        <f t="shared" si="17"/>
        <v>0</v>
      </c>
      <c r="K144" s="422">
        <f t="shared" si="17"/>
        <v>520841</v>
      </c>
    </row>
    <row r="145" spans="1:11" ht="18" customHeight="1" x14ac:dyDescent="0.2">
      <c r="A145" s="435" t="s">
        <v>148</v>
      </c>
      <c r="B145" s="421" t="s">
        <v>68</v>
      </c>
      <c r="F145" s="422">
        <f t="shared" ref="F145:K145" si="18">F82</f>
        <v>91</v>
      </c>
      <c r="G145" s="422">
        <f t="shared" si="18"/>
        <v>367</v>
      </c>
      <c r="H145" s="422">
        <f t="shared" si="18"/>
        <v>144183.63</v>
      </c>
      <c r="I145" s="422">
        <f t="shared" si="18"/>
        <v>0</v>
      </c>
      <c r="J145" s="422">
        <f t="shared" si="18"/>
        <v>0</v>
      </c>
      <c r="K145" s="422">
        <f t="shared" si="18"/>
        <v>144183.63</v>
      </c>
    </row>
    <row r="146" spans="1:11" ht="18" customHeight="1" x14ac:dyDescent="0.2">
      <c r="A146" s="435" t="s">
        <v>150</v>
      </c>
      <c r="B146" s="421" t="s">
        <v>69</v>
      </c>
      <c r="F146" s="422">
        <f t="shared" ref="F146:K146" si="19">F98</f>
        <v>0</v>
      </c>
      <c r="G146" s="422">
        <f t="shared" si="19"/>
        <v>0</v>
      </c>
      <c r="H146" s="422">
        <f t="shared" si="19"/>
        <v>25250</v>
      </c>
      <c r="I146" s="422">
        <f t="shared" si="19"/>
        <v>16512.893642207731</v>
      </c>
      <c r="J146" s="422">
        <f t="shared" si="19"/>
        <v>0</v>
      </c>
      <c r="K146" s="422">
        <f t="shared" si="19"/>
        <v>41762.893642207731</v>
      </c>
    </row>
    <row r="147" spans="1:11" ht="18" customHeight="1" x14ac:dyDescent="0.2">
      <c r="A147" s="435" t="s">
        <v>153</v>
      </c>
      <c r="B147" s="421" t="s">
        <v>61</v>
      </c>
      <c r="F147" s="221">
        <f t="shared" ref="F147:K147" si="20">F108</f>
        <v>4380</v>
      </c>
      <c r="G147" s="221">
        <f t="shared" si="20"/>
        <v>0</v>
      </c>
      <c r="H147" s="221">
        <f t="shared" si="20"/>
        <v>184761.10083333336</v>
      </c>
      <c r="I147" s="221">
        <f t="shared" si="20"/>
        <v>120829.32306051691</v>
      </c>
      <c r="J147" s="221">
        <f t="shared" si="20"/>
        <v>0</v>
      </c>
      <c r="K147" s="221">
        <f t="shared" si="20"/>
        <v>305590.42389385024</v>
      </c>
    </row>
    <row r="148" spans="1:11" ht="18" customHeight="1" x14ac:dyDescent="0.2">
      <c r="A148" s="435" t="s">
        <v>155</v>
      </c>
      <c r="B148" s="421" t="s">
        <v>70</v>
      </c>
      <c r="F148" s="884" t="s">
        <v>73</v>
      </c>
      <c r="G148" s="884" t="s">
        <v>73</v>
      </c>
      <c r="H148" s="885" t="s">
        <v>73</v>
      </c>
      <c r="I148" s="885" t="s">
        <v>73</v>
      </c>
      <c r="J148" s="885" t="s">
        <v>73</v>
      </c>
      <c r="K148" s="423">
        <f>F111</f>
        <v>1710711</v>
      </c>
    </row>
    <row r="149" spans="1:11" ht="18" customHeight="1" x14ac:dyDescent="0.2">
      <c r="A149" s="435" t="s">
        <v>163</v>
      </c>
      <c r="B149" s="421" t="s">
        <v>71</v>
      </c>
      <c r="F149" s="407">
        <f t="shared" ref="F149:K149" si="21">F137</f>
        <v>0</v>
      </c>
      <c r="G149" s="407">
        <f t="shared" si="21"/>
        <v>0</v>
      </c>
      <c r="H149" s="407">
        <f t="shared" si="21"/>
        <v>0</v>
      </c>
      <c r="I149" s="407">
        <f t="shared" si="21"/>
        <v>0</v>
      </c>
      <c r="J149" s="407">
        <f t="shared" si="21"/>
        <v>0</v>
      </c>
      <c r="K149" s="221">
        <f t="shared" si="21"/>
        <v>0</v>
      </c>
    </row>
    <row r="150" spans="1:11" ht="18" customHeight="1" x14ac:dyDescent="0.2">
      <c r="A150" s="435" t="s">
        <v>185</v>
      </c>
      <c r="B150" s="421" t="s">
        <v>186</v>
      </c>
      <c r="F150" s="884" t="s">
        <v>73</v>
      </c>
      <c r="G150" s="884" t="s">
        <v>73</v>
      </c>
      <c r="H150" s="407">
        <f>H18</f>
        <v>10065332</v>
      </c>
      <c r="I150" s="407">
        <f>I18</f>
        <v>0</v>
      </c>
      <c r="J150" s="407">
        <f>J18</f>
        <v>8507192</v>
      </c>
      <c r="K150" s="221">
        <f>K18</f>
        <v>1558140</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1306180.1399999999</v>
      </c>
      <c r="G152" s="487">
        <f t="shared" si="22"/>
        <v>341274.24800000002</v>
      </c>
      <c r="H152" s="487">
        <f t="shared" si="22"/>
        <v>117542335.70929134</v>
      </c>
      <c r="I152" s="487">
        <f t="shared" si="22"/>
        <v>2042470.2068487445</v>
      </c>
      <c r="J152" s="487">
        <f t="shared" si="22"/>
        <v>78717620</v>
      </c>
      <c r="K152" s="487">
        <f t="shared" si="22"/>
        <v>42577896.916140087</v>
      </c>
    </row>
    <row r="154" spans="1:11" ht="18" customHeight="1" x14ac:dyDescent="0.2">
      <c r="A154" s="455" t="s">
        <v>168</v>
      </c>
      <c r="B154" s="421" t="s">
        <v>28</v>
      </c>
      <c r="F154" s="140">
        <f>K152/F121</f>
        <v>8.4421717284050873E-2</v>
      </c>
    </row>
    <row r="155" spans="1:11" ht="18" customHeight="1" x14ac:dyDescent="0.2">
      <c r="A155" s="455" t="s">
        <v>169</v>
      </c>
      <c r="B155" s="421" t="s">
        <v>72</v>
      </c>
      <c r="F155" s="140">
        <f>K152/F127</f>
        <v>4.670648386263939</v>
      </c>
      <c r="G155" s="421"/>
    </row>
    <row r="156" spans="1:11" ht="18" customHeight="1" x14ac:dyDescent="0.2">
      <c r="G156" s="421"/>
    </row>
  </sheetData>
  <sheetProtection algorithmName="SHA-512" hashValue="tSJObOaI4aTWAxA7wzxPPyyVH+8Fsnu2yf/xYEDFX1IBYE27cOi+DAcMaQ+/LnLcCjmbjG2q/ld4/2m6o1BMlg==" saltValue="RD9LZD9kWvKOF7Ucd5YvXg==" spinCount="100000" sheet="1" objects="1" scenarios="1"/>
  <mergeCells count="31">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95:D95"/>
    <mergeCell ref="B94:D94"/>
    <mergeCell ref="B52:C52"/>
    <mergeCell ref="B90:C90"/>
    <mergeCell ref="B53:D53"/>
    <mergeCell ref="B59:D59"/>
    <mergeCell ref="B62:D62"/>
    <mergeCell ref="B58:D58"/>
    <mergeCell ref="B103:C103"/>
    <mergeCell ref="B96:D96"/>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156"/>
  <sheetViews>
    <sheetView showGridLines="0" zoomScale="85" zoomScaleNormal="85"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675</v>
      </c>
      <c r="D5" s="437"/>
      <c r="E5" s="437"/>
      <c r="F5" s="437"/>
      <c r="G5" s="438"/>
    </row>
    <row r="6" spans="1:11" ht="18" customHeight="1" x14ac:dyDescent="0.2">
      <c r="B6" s="435" t="s">
        <v>3</v>
      </c>
      <c r="C6" s="439">
        <v>210045</v>
      </c>
      <c r="D6" s="440"/>
      <c r="E6" s="440"/>
      <c r="F6" s="440"/>
      <c r="G6" s="441"/>
    </row>
    <row r="7" spans="1:11" ht="18" customHeight="1" x14ac:dyDescent="0.2">
      <c r="B7" s="435" t="s">
        <v>4</v>
      </c>
      <c r="C7" s="492">
        <v>273</v>
      </c>
      <c r="D7" s="493"/>
      <c r="E7" s="493"/>
      <c r="F7" s="493"/>
      <c r="G7" s="494"/>
    </row>
    <row r="9" spans="1:11" ht="18" customHeight="1" x14ac:dyDescent="0.2">
      <c r="B9" s="435" t="s">
        <v>1</v>
      </c>
      <c r="C9" s="436" t="s">
        <v>676</v>
      </c>
      <c r="D9" s="437"/>
      <c r="E9" s="437"/>
      <c r="F9" s="437"/>
      <c r="G9" s="438"/>
    </row>
    <row r="10" spans="1:11" ht="18" customHeight="1" x14ac:dyDescent="0.2">
      <c r="B10" s="435" t="s">
        <v>2</v>
      </c>
      <c r="C10" s="445" t="s">
        <v>677</v>
      </c>
      <c r="D10" s="446"/>
      <c r="E10" s="446"/>
      <c r="F10" s="446"/>
      <c r="G10" s="447"/>
    </row>
    <row r="11" spans="1:11" ht="18" customHeight="1" x14ac:dyDescent="0.2">
      <c r="B11" s="435" t="s">
        <v>32</v>
      </c>
      <c r="C11" s="495" t="s">
        <v>678</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317377</v>
      </c>
      <c r="I18" s="133">
        <v>0</v>
      </c>
      <c r="J18" s="118">
        <v>268246</v>
      </c>
      <c r="K18" s="118">
        <f>(H18+I18)-J18</f>
        <v>49131</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15</v>
      </c>
      <c r="G21" s="221">
        <v>25</v>
      </c>
      <c r="H21" s="118">
        <f>225.92+247.38</f>
        <v>473.29999999999995</v>
      </c>
      <c r="I21" s="133">
        <f t="shared" ref="I21:I34" si="0">H21*F$114</f>
        <v>323.95014192969995</v>
      </c>
      <c r="J21" s="118"/>
      <c r="K21" s="118">
        <f t="shared" ref="K21:K34" si="1">(H21+I21)-J21</f>
        <v>797.25014192969991</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c r="G25" s="221"/>
      <c r="H25" s="118"/>
      <c r="I25" s="133">
        <f t="shared" si="0"/>
        <v>0</v>
      </c>
      <c r="J25" s="118"/>
      <c r="K25" s="118">
        <f t="shared" si="1"/>
        <v>0</v>
      </c>
    </row>
    <row r="26" spans="1:11" ht="18" customHeight="1" x14ac:dyDescent="0.2">
      <c r="A26" s="435" t="s">
        <v>80</v>
      </c>
      <c r="B26" s="259" t="s">
        <v>45</v>
      </c>
      <c r="F26" s="221">
        <v>31.5</v>
      </c>
      <c r="G26" s="221">
        <v>203</v>
      </c>
      <c r="H26" s="118">
        <v>3673.14</v>
      </c>
      <c r="I26" s="133">
        <f t="shared" si="0"/>
        <v>2514.0803387442602</v>
      </c>
      <c r="J26" s="118">
        <v>1015</v>
      </c>
      <c r="K26" s="118">
        <f t="shared" si="1"/>
        <v>5172.2203387442605</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v>180</v>
      </c>
      <c r="G28" s="221">
        <v>28</v>
      </c>
      <c r="H28" s="118">
        <v>5472</v>
      </c>
      <c r="I28" s="133">
        <f t="shared" si="0"/>
        <v>3745.3099020479999</v>
      </c>
      <c r="J28" s="118">
        <v>0</v>
      </c>
      <c r="K28" s="118">
        <f t="shared" si="1"/>
        <v>9217.3099020480004</v>
      </c>
    </row>
    <row r="29" spans="1:11" ht="18" customHeight="1" x14ac:dyDescent="0.2">
      <c r="A29" s="435" t="s">
        <v>83</v>
      </c>
      <c r="B29" s="259" t="s">
        <v>48</v>
      </c>
      <c r="F29" s="221"/>
      <c r="G29" s="221"/>
      <c r="H29" s="118"/>
      <c r="I29" s="133">
        <f t="shared" si="0"/>
        <v>0</v>
      </c>
      <c r="J29" s="118"/>
      <c r="K29" s="118">
        <f t="shared" si="1"/>
        <v>0</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226.5</v>
      </c>
      <c r="G36" s="221">
        <f t="shared" si="2"/>
        <v>256</v>
      </c>
      <c r="H36" s="221">
        <f t="shared" si="2"/>
        <v>9618.4399999999987</v>
      </c>
      <c r="I36" s="118">
        <f t="shared" si="2"/>
        <v>6583.3403827219599</v>
      </c>
      <c r="J36" s="118">
        <f t="shared" si="2"/>
        <v>1015</v>
      </c>
      <c r="K36" s="118">
        <f t="shared" si="2"/>
        <v>15186.780382721961</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160</v>
      </c>
      <c r="G40" s="221">
        <v>22</v>
      </c>
      <c r="H40" s="118">
        <v>22420</v>
      </c>
      <c r="I40" s="133">
        <f t="shared" ref="I40:I47" si="3">H40*F$114</f>
        <v>15345.36695978</v>
      </c>
      <c r="J40" s="118"/>
      <c r="K40" s="118">
        <f t="shared" ref="K40:K47" si="4">(H40+I40)-J40</f>
        <v>37765.366959780004</v>
      </c>
    </row>
    <row r="41" spans="1:11" ht="18" customHeight="1" x14ac:dyDescent="0.2">
      <c r="A41" s="435" t="s">
        <v>88</v>
      </c>
      <c r="B41" s="465" t="s">
        <v>50</v>
      </c>
      <c r="C41" s="466"/>
      <c r="F41" s="221"/>
      <c r="G41" s="221"/>
      <c r="H41" s="118"/>
      <c r="I41" s="133">
        <f t="shared" si="3"/>
        <v>0</v>
      </c>
      <c r="J41" s="118"/>
      <c r="K41" s="118">
        <f t="shared" si="4"/>
        <v>0</v>
      </c>
    </row>
    <row r="42" spans="1:11" ht="18" customHeight="1" x14ac:dyDescent="0.2">
      <c r="A42" s="435" t="s">
        <v>89</v>
      </c>
      <c r="B42" s="419" t="s">
        <v>11</v>
      </c>
      <c r="F42" s="221"/>
      <c r="G42" s="221"/>
      <c r="H42" s="118"/>
      <c r="I42" s="133">
        <f t="shared" si="3"/>
        <v>0</v>
      </c>
      <c r="J42" s="118"/>
      <c r="K42" s="118">
        <f t="shared" si="4"/>
        <v>0</v>
      </c>
    </row>
    <row r="43" spans="1:11" ht="18" customHeight="1" x14ac:dyDescent="0.2">
      <c r="A43" s="435" t="s">
        <v>90</v>
      </c>
      <c r="B43" s="467" t="s">
        <v>10</v>
      </c>
      <c r="C43" s="468"/>
      <c r="D43" s="468"/>
      <c r="F43" s="221">
        <f>112+400+1200</f>
        <v>1712</v>
      </c>
      <c r="G43" s="221">
        <v>160</v>
      </c>
      <c r="H43" s="118">
        <f>3920+21400+42288</f>
        <v>67608</v>
      </c>
      <c r="I43" s="133">
        <f t="shared" si="3"/>
        <v>46274.289447672003</v>
      </c>
      <c r="J43" s="118"/>
      <c r="K43" s="118">
        <f t="shared" si="4"/>
        <v>113882.289447672</v>
      </c>
    </row>
    <row r="44" spans="1:11" ht="18" customHeight="1" x14ac:dyDescent="0.2">
      <c r="A44" s="435" t="s">
        <v>91</v>
      </c>
      <c r="B44" s="456"/>
      <c r="C44" s="457"/>
      <c r="D44" s="458"/>
      <c r="F44" s="407"/>
      <c r="G44" s="407"/>
      <c r="H44" s="407"/>
      <c r="I44" s="133">
        <f t="shared" si="3"/>
        <v>0</v>
      </c>
      <c r="J44" s="407"/>
      <c r="K44" s="134">
        <f t="shared" si="4"/>
        <v>0</v>
      </c>
    </row>
    <row r="45" spans="1:11" ht="18" customHeight="1" x14ac:dyDescent="0.2">
      <c r="A45" s="435" t="s">
        <v>139</v>
      </c>
      <c r="B45" s="456"/>
      <c r="C45" s="457"/>
      <c r="D45" s="458"/>
      <c r="F45" s="221"/>
      <c r="G45" s="221"/>
      <c r="H45" s="118"/>
      <c r="I45" s="133">
        <f t="shared" si="3"/>
        <v>0</v>
      </c>
      <c r="J45" s="118"/>
      <c r="K45" s="118">
        <f t="shared" si="4"/>
        <v>0</v>
      </c>
    </row>
    <row r="46" spans="1:11" ht="18" customHeight="1" x14ac:dyDescent="0.2">
      <c r="A46" s="435" t="s">
        <v>140</v>
      </c>
      <c r="B46" s="456"/>
      <c r="C46" s="457"/>
      <c r="D46" s="458"/>
      <c r="F46" s="221"/>
      <c r="G46" s="221"/>
      <c r="H46" s="118"/>
      <c r="I46" s="133">
        <f t="shared" si="3"/>
        <v>0</v>
      </c>
      <c r="J46" s="118"/>
      <c r="K46" s="118">
        <f t="shared" si="4"/>
        <v>0</v>
      </c>
    </row>
    <row r="47" spans="1:11" ht="18" customHeight="1" x14ac:dyDescent="0.2">
      <c r="A47" s="435" t="s">
        <v>141</v>
      </c>
      <c r="B47" s="456"/>
      <c r="C47" s="457"/>
      <c r="D47" s="458"/>
      <c r="F47" s="221"/>
      <c r="G47" s="221"/>
      <c r="H47" s="118"/>
      <c r="I47" s="133">
        <f t="shared" si="3"/>
        <v>0</v>
      </c>
      <c r="J47" s="118"/>
      <c r="K47" s="118">
        <f t="shared" si="4"/>
        <v>0</v>
      </c>
    </row>
    <row r="49" spans="1:11" ht="18" customHeight="1" x14ac:dyDescent="0.2">
      <c r="A49" s="455" t="s">
        <v>142</v>
      </c>
      <c r="B49" s="421" t="s">
        <v>143</v>
      </c>
      <c r="E49" s="421" t="s">
        <v>7</v>
      </c>
      <c r="F49" s="409">
        <f t="shared" ref="F49:K49" si="5">SUM(F40:F47)</f>
        <v>1872</v>
      </c>
      <c r="G49" s="409">
        <f t="shared" si="5"/>
        <v>182</v>
      </c>
      <c r="H49" s="118">
        <f t="shared" si="5"/>
        <v>90028</v>
      </c>
      <c r="I49" s="118">
        <f t="shared" si="5"/>
        <v>61619.656407451999</v>
      </c>
      <c r="J49" s="118">
        <f t="shared" si="5"/>
        <v>0</v>
      </c>
      <c r="K49" s="118">
        <f t="shared" si="5"/>
        <v>151647.65640745201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582</v>
      </c>
      <c r="C53" s="411"/>
      <c r="D53" s="412"/>
      <c r="F53" s="221">
        <v>144</v>
      </c>
      <c r="G53" s="221">
        <v>15</v>
      </c>
      <c r="H53" s="118">
        <v>6688.96</v>
      </c>
      <c r="I53" s="133">
        <f t="shared" ref="I53:I62" si="6">H53*F$114</f>
        <v>4578.25806330464</v>
      </c>
      <c r="J53" s="118">
        <v>2744.81</v>
      </c>
      <c r="K53" s="118">
        <f t="shared" ref="K53:K62" si="7">(H53+I53)-J53</f>
        <v>8522.4080633046415</v>
      </c>
    </row>
    <row r="54" spans="1:11" ht="18" customHeight="1" x14ac:dyDescent="0.2">
      <c r="A54" s="435" t="s">
        <v>93</v>
      </c>
      <c r="B54" s="420" t="s">
        <v>679</v>
      </c>
      <c r="C54" s="414"/>
      <c r="D54" s="415"/>
      <c r="F54" s="221">
        <v>2080</v>
      </c>
      <c r="G54" s="221">
        <v>1913</v>
      </c>
      <c r="H54" s="118">
        <v>46384</v>
      </c>
      <c r="I54" s="133">
        <f t="shared" si="6"/>
        <v>31747.524579056</v>
      </c>
      <c r="J54" s="118"/>
      <c r="K54" s="118">
        <f t="shared" si="7"/>
        <v>78131.524579056</v>
      </c>
    </row>
    <row r="55" spans="1:11" ht="18" customHeight="1" x14ac:dyDescent="0.2">
      <c r="A55" s="435" t="s">
        <v>94</v>
      </c>
      <c r="B55" s="418"/>
      <c r="C55" s="417"/>
      <c r="D55" s="412"/>
      <c r="F55" s="221"/>
      <c r="G55" s="221"/>
      <c r="H55" s="118"/>
      <c r="I55" s="133">
        <f t="shared" si="6"/>
        <v>0</v>
      </c>
      <c r="J55" s="118"/>
      <c r="K55" s="118">
        <f t="shared" si="7"/>
        <v>0</v>
      </c>
    </row>
    <row r="56" spans="1:11" ht="18" customHeight="1" x14ac:dyDescent="0.2">
      <c r="A56" s="435" t="s">
        <v>95</v>
      </c>
      <c r="B56" s="418"/>
      <c r="C56" s="417"/>
      <c r="D56" s="412"/>
      <c r="F56" s="221"/>
      <c r="G56" s="221"/>
      <c r="H56" s="118"/>
      <c r="I56" s="133">
        <f t="shared" si="6"/>
        <v>0</v>
      </c>
      <c r="J56" s="118"/>
      <c r="K56" s="118">
        <f t="shared" si="7"/>
        <v>0</v>
      </c>
    </row>
    <row r="57" spans="1:11" ht="18" customHeight="1" x14ac:dyDescent="0.2">
      <c r="A57" s="435" t="s">
        <v>96</v>
      </c>
      <c r="B57" s="418"/>
      <c r="C57" s="417"/>
      <c r="D57" s="412"/>
      <c r="F57" s="221"/>
      <c r="G57" s="221"/>
      <c r="H57" s="118"/>
      <c r="I57" s="133">
        <f t="shared" si="6"/>
        <v>0</v>
      </c>
      <c r="J57" s="118"/>
      <c r="K57" s="118">
        <f t="shared" si="7"/>
        <v>0</v>
      </c>
    </row>
    <row r="58" spans="1:11" ht="18" customHeight="1" x14ac:dyDescent="0.2">
      <c r="A58" s="435" t="s">
        <v>97</v>
      </c>
      <c r="B58" s="420"/>
      <c r="C58" s="414"/>
      <c r="D58" s="415"/>
      <c r="F58" s="221"/>
      <c r="G58" s="221"/>
      <c r="H58" s="118"/>
      <c r="I58" s="133">
        <f t="shared" si="6"/>
        <v>0</v>
      </c>
      <c r="J58" s="118"/>
      <c r="K58" s="118">
        <f t="shared" si="7"/>
        <v>0</v>
      </c>
    </row>
    <row r="59" spans="1:11" ht="18" customHeight="1" x14ac:dyDescent="0.2">
      <c r="A59" s="435" t="s">
        <v>98</v>
      </c>
      <c r="B59" s="418"/>
      <c r="C59" s="417"/>
      <c r="D59" s="412"/>
      <c r="F59" s="221"/>
      <c r="G59" s="221"/>
      <c r="H59" s="118"/>
      <c r="I59" s="133">
        <f t="shared" si="6"/>
        <v>0</v>
      </c>
      <c r="J59" s="118"/>
      <c r="K59" s="118">
        <f t="shared" si="7"/>
        <v>0</v>
      </c>
    </row>
    <row r="60" spans="1:11" ht="18" customHeight="1" x14ac:dyDescent="0.2">
      <c r="A60" s="435" t="s">
        <v>99</v>
      </c>
      <c r="B60" s="420"/>
      <c r="C60" s="414"/>
      <c r="D60" s="415"/>
      <c r="F60" s="221"/>
      <c r="G60" s="221"/>
      <c r="H60" s="118"/>
      <c r="I60" s="133">
        <f t="shared" si="6"/>
        <v>0</v>
      </c>
      <c r="J60" s="118"/>
      <c r="K60" s="118">
        <f t="shared" si="7"/>
        <v>0</v>
      </c>
    </row>
    <row r="61" spans="1:11" ht="18" customHeight="1" x14ac:dyDescent="0.2">
      <c r="A61" s="435" t="s">
        <v>100</v>
      </c>
      <c r="B61" s="420"/>
      <c r="C61" s="414"/>
      <c r="D61" s="415"/>
      <c r="F61" s="221"/>
      <c r="G61" s="221"/>
      <c r="H61" s="118"/>
      <c r="I61" s="133">
        <f t="shared" si="6"/>
        <v>0</v>
      </c>
      <c r="J61" s="118"/>
      <c r="K61" s="118">
        <f t="shared" si="7"/>
        <v>0</v>
      </c>
    </row>
    <row r="62" spans="1:11" ht="18" customHeight="1" x14ac:dyDescent="0.2">
      <c r="A62" s="435" t="s">
        <v>101</v>
      </c>
      <c r="B62" s="418"/>
      <c r="C62" s="417"/>
      <c r="D62" s="412"/>
      <c r="F62" s="221"/>
      <c r="G62" s="221"/>
      <c r="H62" s="118"/>
      <c r="I62" s="133">
        <f t="shared" si="6"/>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2224</v>
      </c>
      <c r="G64" s="221">
        <f t="shared" si="8"/>
        <v>1928</v>
      </c>
      <c r="H64" s="118">
        <f t="shared" si="8"/>
        <v>53072.959999999999</v>
      </c>
      <c r="I64" s="118">
        <f t="shared" si="8"/>
        <v>36325.782642360638</v>
      </c>
      <c r="J64" s="118">
        <f t="shared" si="8"/>
        <v>2744.81</v>
      </c>
      <c r="K64" s="118">
        <f t="shared" si="8"/>
        <v>86653.93264236064</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f t="shared" ref="I68:I72" si="9">H68*F$114</f>
        <v>0</v>
      </c>
      <c r="J68" s="122"/>
      <c r="K68" s="118">
        <f>(H68+I68)-J68</f>
        <v>0</v>
      </c>
    </row>
    <row r="69" spans="1:11" ht="18" customHeight="1" x14ac:dyDescent="0.2">
      <c r="A69" s="435" t="s">
        <v>104</v>
      </c>
      <c r="B69" s="419" t="s">
        <v>53</v>
      </c>
      <c r="F69" s="122"/>
      <c r="G69" s="122"/>
      <c r="H69" s="122"/>
      <c r="I69" s="133">
        <f t="shared" si="9"/>
        <v>0</v>
      </c>
      <c r="J69" s="122"/>
      <c r="K69" s="118">
        <f>(H69+I69)-J69</f>
        <v>0</v>
      </c>
    </row>
    <row r="70" spans="1:11" ht="18" customHeight="1" x14ac:dyDescent="0.2">
      <c r="A70" s="435" t="s">
        <v>178</v>
      </c>
      <c r="B70" s="420"/>
      <c r="C70" s="414"/>
      <c r="D70" s="415"/>
      <c r="E70" s="421"/>
      <c r="F70" s="422"/>
      <c r="G70" s="422"/>
      <c r="H70" s="423"/>
      <c r="I70" s="133">
        <f t="shared" si="9"/>
        <v>0</v>
      </c>
      <c r="J70" s="423"/>
      <c r="K70" s="118">
        <f>(H70+I70)-J70</f>
        <v>0</v>
      </c>
    </row>
    <row r="71" spans="1:11" ht="18" customHeight="1" x14ac:dyDescent="0.2">
      <c r="A71" s="435" t="s">
        <v>179</v>
      </c>
      <c r="B71" s="420"/>
      <c r="C71" s="414"/>
      <c r="D71" s="415"/>
      <c r="E71" s="421"/>
      <c r="F71" s="422"/>
      <c r="G71" s="422"/>
      <c r="H71" s="423"/>
      <c r="I71" s="133">
        <f t="shared" si="9"/>
        <v>0</v>
      </c>
      <c r="J71" s="423"/>
      <c r="K71" s="118">
        <f>(H71+I71)-J71</f>
        <v>0</v>
      </c>
    </row>
    <row r="72" spans="1:11" ht="18" customHeight="1" x14ac:dyDescent="0.2">
      <c r="A72" s="435" t="s">
        <v>180</v>
      </c>
      <c r="B72" s="424"/>
      <c r="C72" s="425"/>
      <c r="D72" s="426"/>
      <c r="E72" s="421"/>
      <c r="F72" s="221"/>
      <c r="G72" s="221"/>
      <c r="H72" s="118"/>
      <c r="I72" s="133">
        <f t="shared" si="9"/>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0">SUM(F68:F72)</f>
        <v>0</v>
      </c>
      <c r="G74" s="122">
        <f t="shared" si="10"/>
        <v>0</v>
      </c>
      <c r="H74" s="122">
        <f t="shared" si="10"/>
        <v>0</v>
      </c>
      <c r="I74" s="133">
        <f t="shared" si="10"/>
        <v>0</v>
      </c>
      <c r="J74" s="122">
        <f t="shared" si="10"/>
        <v>0</v>
      </c>
      <c r="K74" s="118">
        <f t="shared" si="10"/>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f t="shared" ref="I77:I80" si="11">H77*F$114</f>
        <v>0</v>
      </c>
      <c r="J77" s="118"/>
      <c r="K77" s="118">
        <f>(H77+I77)-J77</f>
        <v>0</v>
      </c>
    </row>
    <row r="78" spans="1:11" ht="18" customHeight="1" x14ac:dyDescent="0.2">
      <c r="A78" s="435" t="s">
        <v>108</v>
      </c>
      <c r="B78" s="419" t="s">
        <v>55</v>
      </c>
      <c r="F78" s="221"/>
      <c r="G78" s="221"/>
      <c r="H78" s="118"/>
      <c r="I78" s="133">
        <f t="shared" si="11"/>
        <v>0</v>
      </c>
      <c r="J78" s="118"/>
      <c r="K78" s="118">
        <f>(H78+I78)-J78</f>
        <v>0</v>
      </c>
    </row>
    <row r="79" spans="1:11" ht="18" customHeight="1" x14ac:dyDescent="0.2">
      <c r="A79" s="435" t="s">
        <v>109</v>
      </c>
      <c r="B79" s="419" t="s">
        <v>13</v>
      </c>
      <c r="F79" s="221"/>
      <c r="G79" s="221"/>
      <c r="H79" s="118"/>
      <c r="I79" s="133">
        <f t="shared" si="11"/>
        <v>0</v>
      </c>
      <c r="J79" s="118"/>
      <c r="K79" s="118">
        <f>(H79+I79)-J79</f>
        <v>0</v>
      </c>
    </row>
    <row r="80" spans="1:11" ht="18" customHeight="1" x14ac:dyDescent="0.2">
      <c r="A80" s="435" t="s">
        <v>110</v>
      </c>
      <c r="B80" s="419" t="s">
        <v>56</v>
      </c>
      <c r="F80" s="221"/>
      <c r="G80" s="221"/>
      <c r="H80" s="118"/>
      <c r="I80" s="133">
        <f t="shared" si="11"/>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2">SUM(F77:F80)</f>
        <v>0</v>
      </c>
      <c r="G82" s="122">
        <f t="shared" si="12"/>
        <v>0</v>
      </c>
      <c r="H82" s="118">
        <f t="shared" si="12"/>
        <v>0</v>
      </c>
      <c r="I82" s="118">
        <f t="shared" si="12"/>
        <v>0</v>
      </c>
      <c r="J82" s="118">
        <f t="shared" si="12"/>
        <v>0</v>
      </c>
      <c r="K82" s="118">
        <f t="shared" si="12"/>
        <v>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13">H86*F$114</f>
        <v>0</v>
      </c>
      <c r="J86" s="118"/>
      <c r="K86" s="118">
        <f t="shared" ref="K86:K96" si="14">(H86+I86)-J86</f>
        <v>0</v>
      </c>
    </row>
    <row r="87" spans="1:11" ht="18" customHeight="1" x14ac:dyDescent="0.2">
      <c r="A87" s="435" t="s">
        <v>114</v>
      </c>
      <c r="B87" s="419" t="s">
        <v>14</v>
      </c>
      <c r="F87" s="221">
        <v>7</v>
      </c>
      <c r="G87" s="221">
        <v>4</v>
      </c>
      <c r="H87" s="118">
        <v>504.84</v>
      </c>
      <c r="I87" s="133">
        <f t="shared" si="13"/>
        <v>345.53769205956002</v>
      </c>
      <c r="J87" s="118"/>
      <c r="K87" s="118">
        <f t="shared" si="14"/>
        <v>850.37769205955999</v>
      </c>
    </row>
    <row r="88" spans="1:11" ht="18" customHeight="1" x14ac:dyDescent="0.2">
      <c r="A88" s="435" t="s">
        <v>115</v>
      </c>
      <c r="B88" s="419" t="s">
        <v>116</v>
      </c>
      <c r="F88" s="221">
        <f>3+2</f>
        <v>5</v>
      </c>
      <c r="G88" s="221">
        <v>2</v>
      </c>
      <c r="H88" s="118">
        <v>287.04000000000002</v>
      </c>
      <c r="I88" s="133">
        <f t="shared" si="13"/>
        <v>196.46450187936003</v>
      </c>
      <c r="J88" s="118"/>
      <c r="K88" s="118">
        <f t="shared" si="14"/>
        <v>483.50450187936008</v>
      </c>
    </row>
    <row r="89" spans="1:11" ht="18" customHeight="1" x14ac:dyDescent="0.2">
      <c r="A89" s="435" t="s">
        <v>117</v>
      </c>
      <c r="B89" s="419" t="s">
        <v>58</v>
      </c>
      <c r="F89" s="221"/>
      <c r="G89" s="221"/>
      <c r="H89" s="118"/>
      <c r="I89" s="133">
        <f t="shared" si="13"/>
        <v>0</v>
      </c>
      <c r="J89" s="118"/>
      <c r="K89" s="118">
        <f t="shared" si="14"/>
        <v>0</v>
      </c>
    </row>
    <row r="90" spans="1:11" ht="18" customHeight="1" x14ac:dyDescent="0.2">
      <c r="A90" s="435" t="s">
        <v>118</v>
      </c>
      <c r="B90" s="465" t="s">
        <v>59</v>
      </c>
      <c r="C90" s="466"/>
      <c r="F90" s="221"/>
      <c r="G90" s="221"/>
      <c r="H90" s="118"/>
      <c r="I90" s="133">
        <f t="shared" si="13"/>
        <v>0</v>
      </c>
      <c r="J90" s="118"/>
      <c r="K90" s="118">
        <f t="shared" si="14"/>
        <v>0</v>
      </c>
    </row>
    <row r="91" spans="1:11" ht="18" customHeight="1" x14ac:dyDescent="0.2">
      <c r="A91" s="435" t="s">
        <v>119</v>
      </c>
      <c r="B91" s="419" t="s">
        <v>60</v>
      </c>
      <c r="F91" s="221">
        <v>3.5</v>
      </c>
      <c r="G91" s="221">
        <v>3</v>
      </c>
      <c r="H91" s="118">
        <v>164.78</v>
      </c>
      <c r="I91" s="133">
        <f t="shared" si="13"/>
        <v>112.78365600502001</v>
      </c>
      <c r="J91" s="118"/>
      <c r="K91" s="118">
        <f t="shared" si="14"/>
        <v>277.56365600501999</v>
      </c>
    </row>
    <row r="92" spans="1:11" ht="18" customHeight="1" x14ac:dyDescent="0.2">
      <c r="A92" s="435" t="s">
        <v>120</v>
      </c>
      <c r="B92" s="419" t="s">
        <v>121</v>
      </c>
      <c r="F92" s="257">
        <f>6+42+5.5</f>
        <v>53.5</v>
      </c>
      <c r="G92" s="257">
        <v>15</v>
      </c>
      <c r="H92" s="429">
        <v>2382.96</v>
      </c>
      <c r="I92" s="133">
        <f t="shared" si="13"/>
        <v>1631.0167551506402</v>
      </c>
      <c r="J92" s="429"/>
      <c r="K92" s="118">
        <f t="shared" si="14"/>
        <v>4013.9767551506402</v>
      </c>
    </row>
    <row r="93" spans="1:11" ht="18" customHeight="1" x14ac:dyDescent="0.2">
      <c r="A93" s="435" t="s">
        <v>122</v>
      </c>
      <c r="B93" s="419" t="s">
        <v>123</v>
      </c>
      <c r="F93" s="221">
        <v>11.5</v>
      </c>
      <c r="G93" s="221">
        <v>2</v>
      </c>
      <c r="H93" s="118">
        <v>829.38</v>
      </c>
      <c r="I93" s="133">
        <f t="shared" si="13"/>
        <v>567.66906552642001</v>
      </c>
      <c r="J93" s="118"/>
      <c r="K93" s="118">
        <f t="shared" si="14"/>
        <v>1397.04906552642</v>
      </c>
    </row>
    <row r="94" spans="1:11" ht="18" customHeight="1" x14ac:dyDescent="0.2">
      <c r="A94" s="435" t="s">
        <v>124</v>
      </c>
      <c r="B94" s="418"/>
      <c r="C94" s="417"/>
      <c r="D94" s="412"/>
      <c r="F94" s="221"/>
      <c r="G94" s="221"/>
      <c r="H94" s="118"/>
      <c r="I94" s="133">
        <f t="shared" si="13"/>
        <v>0</v>
      </c>
      <c r="J94" s="118"/>
      <c r="K94" s="118">
        <f t="shared" si="14"/>
        <v>0</v>
      </c>
    </row>
    <row r="95" spans="1:11" ht="18" customHeight="1" x14ac:dyDescent="0.2">
      <c r="A95" s="435" t="s">
        <v>125</v>
      </c>
      <c r="B95" s="418"/>
      <c r="C95" s="417"/>
      <c r="D95" s="412"/>
      <c r="F95" s="221"/>
      <c r="G95" s="221"/>
      <c r="H95" s="118"/>
      <c r="I95" s="133">
        <f t="shared" si="13"/>
        <v>0</v>
      </c>
      <c r="J95" s="118"/>
      <c r="K95" s="118">
        <f t="shared" si="14"/>
        <v>0</v>
      </c>
    </row>
    <row r="96" spans="1:11" ht="18" customHeight="1" x14ac:dyDescent="0.2">
      <c r="A96" s="435" t="s">
        <v>126</v>
      </c>
      <c r="B96" s="418"/>
      <c r="C96" s="417"/>
      <c r="D96" s="412"/>
      <c r="F96" s="221"/>
      <c r="G96" s="221"/>
      <c r="H96" s="118"/>
      <c r="I96" s="133">
        <f t="shared" si="13"/>
        <v>0</v>
      </c>
      <c r="J96" s="118"/>
      <c r="K96" s="118">
        <f t="shared" si="14"/>
        <v>0</v>
      </c>
    </row>
    <row r="97" spans="1:11" ht="18" customHeight="1" x14ac:dyDescent="0.2">
      <c r="A97" s="435"/>
      <c r="B97" s="419"/>
    </row>
    <row r="98" spans="1:11" ht="18" customHeight="1" x14ac:dyDescent="0.2">
      <c r="A98" s="455" t="s">
        <v>150</v>
      </c>
      <c r="B98" s="421" t="s">
        <v>151</v>
      </c>
      <c r="E98" s="421" t="s">
        <v>7</v>
      </c>
      <c r="F98" s="221">
        <f t="shared" ref="F98:K98" si="15">SUM(F86:F96)</f>
        <v>80.5</v>
      </c>
      <c r="G98" s="221">
        <f t="shared" si="15"/>
        <v>26</v>
      </c>
      <c r="H98" s="221">
        <f t="shared" si="15"/>
        <v>4169</v>
      </c>
      <c r="I98" s="221">
        <f t="shared" si="15"/>
        <v>2853.4716706210002</v>
      </c>
      <c r="J98" s="221">
        <f t="shared" si="15"/>
        <v>0</v>
      </c>
      <c r="K98" s="221">
        <f t="shared" si="15"/>
        <v>7022.4716706210002</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c r="G102" s="221"/>
      <c r="H102" s="118"/>
      <c r="I102" s="133">
        <f>H102*F$114</f>
        <v>0</v>
      </c>
      <c r="J102" s="118"/>
      <c r="K102" s="118">
        <f>(H102+I102)-J102</f>
        <v>0</v>
      </c>
    </row>
    <row r="103" spans="1:11" ht="18" customHeight="1" x14ac:dyDescent="0.2">
      <c r="A103" s="435" t="s">
        <v>132</v>
      </c>
      <c r="B103" s="465" t="s">
        <v>62</v>
      </c>
      <c r="C103" s="465"/>
      <c r="F103" s="221">
        <v>8</v>
      </c>
      <c r="G103" s="221">
        <v>1</v>
      </c>
      <c r="H103" s="118">
        <v>10000</v>
      </c>
      <c r="I103" s="133">
        <f>H103*F$114</f>
        <v>6844.4990900000003</v>
      </c>
      <c r="J103" s="118"/>
      <c r="K103" s="118">
        <f>(H103+I103)-J103</f>
        <v>16844.499090000001</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6">SUM(F102:F106)</f>
        <v>8</v>
      </c>
      <c r="G108" s="221">
        <f t="shared" si="16"/>
        <v>1</v>
      </c>
      <c r="H108" s="118">
        <f t="shared" si="16"/>
        <v>10000</v>
      </c>
      <c r="I108" s="118">
        <f t="shared" si="16"/>
        <v>6844.4990900000003</v>
      </c>
      <c r="J108" s="118">
        <f t="shared" si="16"/>
        <v>0</v>
      </c>
      <c r="K108" s="118">
        <f t="shared" si="16"/>
        <v>16844.499090000001</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326004</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0.68444990900000002</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17164270</v>
      </c>
    </row>
    <row r="118" spans="1:6" ht="18" customHeight="1" x14ac:dyDescent="0.2">
      <c r="A118" s="435" t="s">
        <v>173</v>
      </c>
      <c r="B118" s="259" t="s">
        <v>18</v>
      </c>
      <c r="F118" s="118">
        <v>178893</v>
      </c>
    </row>
    <row r="119" spans="1:6" ht="18" customHeight="1" x14ac:dyDescent="0.2">
      <c r="A119" s="435" t="s">
        <v>174</v>
      </c>
      <c r="B119" s="421" t="s">
        <v>19</v>
      </c>
      <c r="F119" s="118">
        <f>SUM(F117:F118)</f>
        <v>17343163</v>
      </c>
    </row>
    <row r="120" spans="1:6" ht="18" customHeight="1" x14ac:dyDescent="0.2">
      <c r="A120" s="435"/>
      <c r="B120" s="421"/>
    </row>
    <row r="121" spans="1:6" ht="18" customHeight="1" x14ac:dyDescent="0.2">
      <c r="A121" s="435" t="s">
        <v>167</v>
      </c>
      <c r="B121" s="421" t="s">
        <v>36</v>
      </c>
      <c r="F121" s="118">
        <v>18107925</v>
      </c>
    </row>
    <row r="122" spans="1:6" ht="18" customHeight="1" x14ac:dyDescent="0.2">
      <c r="A122" s="435"/>
    </row>
    <row r="123" spans="1:6" ht="18" customHeight="1" x14ac:dyDescent="0.2">
      <c r="A123" s="435" t="s">
        <v>175</v>
      </c>
      <c r="B123" s="421" t="s">
        <v>20</v>
      </c>
      <c r="F123" s="118">
        <v>-764762</v>
      </c>
    </row>
    <row r="124" spans="1:6" ht="18" customHeight="1" x14ac:dyDescent="0.2">
      <c r="A124" s="435"/>
    </row>
    <row r="125" spans="1:6" ht="18" customHeight="1" x14ac:dyDescent="0.2">
      <c r="A125" s="435" t="s">
        <v>176</v>
      </c>
      <c r="B125" s="421" t="s">
        <v>21</v>
      </c>
      <c r="F125" s="118">
        <v>75185</v>
      </c>
    </row>
    <row r="126" spans="1:6" ht="18" customHeight="1" x14ac:dyDescent="0.2">
      <c r="A126" s="435"/>
    </row>
    <row r="127" spans="1:6" ht="18" customHeight="1" x14ac:dyDescent="0.2">
      <c r="A127" s="435" t="s">
        <v>177</v>
      </c>
      <c r="B127" s="421" t="s">
        <v>22</v>
      </c>
      <c r="F127" s="118">
        <v>-689577</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7">SUM(F131:F135)</f>
        <v>0</v>
      </c>
      <c r="G137" s="221">
        <f t="shared" si="17"/>
        <v>0</v>
      </c>
      <c r="H137" s="118">
        <f t="shared" si="17"/>
        <v>0</v>
      </c>
      <c r="I137" s="118">
        <f t="shared" si="17"/>
        <v>0</v>
      </c>
      <c r="J137" s="118">
        <f t="shared" si="17"/>
        <v>0</v>
      </c>
      <c r="K137" s="118">
        <f t="shared" si="17"/>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8">F36</f>
        <v>226.5</v>
      </c>
      <c r="G141" s="422">
        <f t="shared" si="18"/>
        <v>256</v>
      </c>
      <c r="H141" s="422">
        <f t="shared" si="18"/>
        <v>9618.4399999999987</v>
      </c>
      <c r="I141" s="422">
        <f t="shared" si="18"/>
        <v>6583.3403827219599</v>
      </c>
      <c r="J141" s="422">
        <f t="shared" si="18"/>
        <v>1015</v>
      </c>
      <c r="K141" s="422">
        <f t="shared" si="18"/>
        <v>15186.780382721961</v>
      </c>
    </row>
    <row r="142" spans="1:11" ht="18" customHeight="1" x14ac:dyDescent="0.2">
      <c r="A142" s="435" t="s">
        <v>142</v>
      </c>
      <c r="B142" s="421" t="s">
        <v>65</v>
      </c>
      <c r="F142" s="422">
        <f t="shared" ref="F142:K142" si="19">F49</f>
        <v>1872</v>
      </c>
      <c r="G142" s="422">
        <f t="shared" si="19"/>
        <v>182</v>
      </c>
      <c r="H142" s="422">
        <f t="shared" si="19"/>
        <v>90028</v>
      </c>
      <c r="I142" s="422">
        <f t="shared" si="19"/>
        <v>61619.656407451999</v>
      </c>
      <c r="J142" s="422">
        <f t="shared" si="19"/>
        <v>0</v>
      </c>
      <c r="K142" s="422">
        <f t="shared" si="19"/>
        <v>151647.65640745201</v>
      </c>
    </row>
    <row r="143" spans="1:11" ht="18" customHeight="1" x14ac:dyDescent="0.2">
      <c r="A143" s="435" t="s">
        <v>144</v>
      </c>
      <c r="B143" s="421" t="s">
        <v>66</v>
      </c>
      <c r="F143" s="422">
        <f t="shared" ref="F143:K143" si="20">F64</f>
        <v>2224</v>
      </c>
      <c r="G143" s="422">
        <f t="shared" si="20"/>
        <v>1928</v>
      </c>
      <c r="H143" s="422">
        <f t="shared" si="20"/>
        <v>53072.959999999999</v>
      </c>
      <c r="I143" s="422">
        <f t="shared" si="20"/>
        <v>36325.782642360638</v>
      </c>
      <c r="J143" s="422">
        <f t="shared" si="20"/>
        <v>2744.81</v>
      </c>
      <c r="K143" s="422">
        <f t="shared" si="20"/>
        <v>86653.93264236064</v>
      </c>
    </row>
    <row r="144" spans="1:11" ht="18" customHeight="1" x14ac:dyDescent="0.2">
      <c r="A144" s="435" t="s">
        <v>146</v>
      </c>
      <c r="B144" s="421" t="s">
        <v>67</v>
      </c>
      <c r="F144" s="422">
        <f t="shared" ref="F144:K144" si="21">F74</f>
        <v>0</v>
      </c>
      <c r="G144" s="422">
        <f t="shared" si="21"/>
        <v>0</v>
      </c>
      <c r="H144" s="422">
        <f t="shared" si="21"/>
        <v>0</v>
      </c>
      <c r="I144" s="422">
        <f t="shared" si="21"/>
        <v>0</v>
      </c>
      <c r="J144" s="422">
        <f t="shared" si="21"/>
        <v>0</v>
      </c>
      <c r="K144" s="422">
        <f t="shared" si="21"/>
        <v>0</v>
      </c>
    </row>
    <row r="145" spans="1:11" ht="18" customHeight="1" x14ac:dyDescent="0.2">
      <c r="A145" s="435" t="s">
        <v>148</v>
      </c>
      <c r="B145" s="421" t="s">
        <v>68</v>
      </c>
      <c r="F145" s="422">
        <f t="shared" ref="F145:K145" si="22">F82</f>
        <v>0</v>
      </c>
      <c r="G145" s="422">
        <f t="shared" si="22"/>
        <v>0</v>
      </c>
      <c r="H145" s="422">
        <f t="shared" si="22"/>
        <v>0</v>
      </c>
      <c r="I145" s="422">
        <f t="shared" si="22"/>
        <v>0</v>
      </c>
      <c r="J145" s="422">
        <f t="shared" si="22"/>
        <v>0</v>
      </c>
      <c r="K145" s="422">
        <f t="shared" si="22"/>
        <v>0</v>
      </c>
    </row>
    <row r="146" spans="1:11" ht="18" customHeight="1" x14ac:dyDescent="0.2">
      <c r="A146" s="435" t="s">
        <v>150</v>
      </c>
      <c r="B146" s="421" t="s">
        <v>69</v>
      </c>
      <c r="F146" s="422">
        <f t="shared" ref="F146:K146" si="23">F98</f>
        <v>80.5</v>
      </c>
      <c r="G146" s="422">
        <f t="shared" si="23"/>
        <v>26</v>
      </c>
      <c r="H146" s="422">
        <f t="shared" si="23"/>
        <v>4169</v>
      </c>
      <c r="I146" s="422">
        <f t="shared" si="23"/>
        <v>2853.4716706210002</v>
      </c>
      <c r="J146" s="422">
        <f t="shared" si="23"/>
        <v>0</v>
      </c>
      <c r="K146" s="422">
        <f t="shared" si="23"/>
        <v>7022.4716706210002</v>
      </c>
    </row>
    <row r="147" spans="1:11" ht="18" customHeight="1" x14ac:dyDescent="0.2">
      <c r="A147" s="435" t="s">
        <v>153</v>
      </c>
      <c r="B147" s="421" t="s">
        <v>61</v>
      </c>
      <c r="F147" s="221">
        <f t="shared" ref="F147:K147" si="24">F108</f>
        <v>8</v>
      </c>
      <c r="G147" s="221">
        <f t="shared" si="24"/>
        <v>1</v>
      </c>
      <c r="H147" s="221">
        <f t="shared" si="24"/>
        <v>10000</v>
      </c>
      <c r="I147" s="221">
        <f t="shared" si="24"/>
        <v>6844.4990900000003</v>
      </c>
      <c r="J147" s="221">
        <f t="shared" si="24"/>
        <v>0</v>
      </c>
      <c r="K147" s="221">
        <f t="shared" si="24"/>
        <v>16844.499090000001</v>
      </c>
    </row>
    <row r="148" spans="1:11" ht="18" customHeight="1" x14ac:dyDescent="0.2">
      <c r="A148" s="435" t="s">
        <v>155</v>
      </c>
      <c r="B148" s="421" t="s">
        <v>70</v>
      </c>
      <c r="F148" s="485" t="s">
        <v>73</v>
      </c>
      <c r="G148" s="485" t="s">
        <v>73</v>
      </c>
      <c r="H148" s="486" t="s">
        <v>73</v>
      </c>
      <c r="I148" s="486" t="s">
        <v>73</v>
      </c>
      <c r="J148" s="486" t="s">
        <v>73</v>
      </c>
      <c r="K148" s="886">
        <f>F111</f>
        <v>326004</v>
      </c>
    </row>
    <row r="149" spans="1:11" ht="18" customHeight="1" x14ac:dyDescent="0.2">
      <c r="A149" s="435" t="s">
        <v>163</v>
      </c>
      <c r="B149" s="421" t="s">
        <v>71</v>
      </c>
      <c r="F149" s="221">
        <f t="shared" ref="F149:K149" si="25">F137</f>
        <v>0</v>
      </c>
      <c r="G149" s="221">
        <f t="shared" si="25"/>
        <v>0</v>
      </c>
      <c r="H149" s="221">
        <f t="shared" si="25"/>
        <v>0</v>
      </c>
      <c r="I149" s="221">
        <f t="shared" si="25"/>
        <v>0</v>
      </c>
      <c r="J149" s="221">
        <f t="shared" si="25"/>
        <v>0</v>
      </c>
      <c r="K149" s="221">
        <f t="shared" si="25"/>
        <v>0</v>
      </c>
    </row>
    <row r="150" spans="1:11" ht="18" customHeight="1" x14ac:dyDescent="0.2">
      <c r="A150" s="435" t="s">
        <v>185</v>
      </c>
      <c r="B150" s="421" t="s">
        <v>186</v>
      </c>
      <c r="F150" s="485" t="s">
        <v>73</v>
      </c>
      <c r="G150" s="485" t="s">
        <v>73</v>
      </c>
      <c r="H150" s="221">
        <f>H18</f>
        <v>317377</v>
      </c>
      <c r="I150" s="221">
        <f>I18</f>
        <v>0</v>
      </c>
      <c r="J150" s="221">
        <f>J18</f>
        <v>268246</v>
      </c>
      <c r="K150" s="221">
        <f>K18</f>
        <v>49131</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J152" si="26">SUM(F141:F150)</f>
        <v>4411</v>
      </c>
      <c r="G152" s="487">
        <f t="shared" si="26"/>
        <v>2393</v>
      </c>
      <c r="H152" s="487">
        <f t="shared" si="26"/>
        <v>484265.4</v>
      </c>
      <c r="I152" s="487">
        <f t="shared" si="26"/>
        <v>114226.75019315559</v>
      </c>
      <c r="J152" s="487">
        <f t="shared" si="26"/>
        <v>272005.81</v>
      </c>
      <c r="K152" s="487">
        <f>SUM(K141:K150)</f>
        <v>652490.34019315569</v>
      </c>
    </row>
    <row r="154" spans="1:11" ht="18" customHeight="1" x14ac:dyDescent="0.2">
      <c r="A154" s="455" t="s">
        <v>168</v>
      </c>
      <c r="B154" s="421" t="s">
        <v>28</v>
      </c>
      <c r="F154" s="140">
        <f>K152/F121</f>
        <v>3.6033413005253541E-2</v>
      </c>
    </row>
    <row r="155" spans="1:11" ht="18" customHeight="1" x14ac:dyDescent="0.2">
      <c r="A155" s="455" t="s">
        <v>169</v>
      </c>
      <c r="B155" s="421" t="s">
        <v>72</v>
      </c>
      <c r="F155" s="140">
        <f>K152/F127</f>
        <v>-0.94621824711838665</v>
      </c>
      <c r="G155" s="421"/>
    </row>
    <row r="156" spans="1:11" ht="18" customHeight="1" x14ac:dyDescent="0.2">
      <c r="G156" s="421"/>
    </row>
  </sheetData>
  <sheetProtection algorithmName="SHA-512" hashValue="2MJJ4ELHvHT8x1GXlBlgB7hyF1Di+Sz8FStWOgW6tpwO0ygdpjanF2Y5UJJBrI3dh42o5qiBW5yi3yxv/fuOCA==" saltValue="kp6CNY2b8HnSkX5vshCK3w==" spinCount="100000" sheet="1" objects="1" scenarios="1"/>
  <mergeCells count="34">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103:C103"/>
    <mergeCell ref="B96:D96"/>
    <mergeCell ref="B95:D95"/>
    <mergeCell ref="B57:D57"/>
    <mergeCell ref="B94:D94"/>
    <mergeCell ref="B90:C90"/>
    <mergeCell ref="B62:D62"/>
    <mergeCell ref="B134:D134"/>
    <mergeCell ref="B135:D135"/>
    <mergeCell ref="B133:D133"/>
    <mergeCell ref="B104:D104"/>
    <mergeCell ref="B105:D105"/>
    <mergeCell ref="B106:D106"/>
    <mergeCell ref="B52:C52"/>
    <mergeCell ref="B53:D53"/>
    <mergeCell ref="B55:D55"/>
    <mergeCell ref="B31:D31"/>
    <mergeCell ref="B30:D30"/>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285</v>
      </c>
      <c r="D5" s="437"/>
      <c r="E5" s="437"/>
      <c r="F5" s="437"/>
      <c r="G5" s="438"/>
    </row>
    <row r="6" spans="1:11" ht="18" customHeight="1" x14ac:dyDescent="0.2">
      <c r="B6" s="435" t="s">
        <v>3</v>
      </c>
      <c r="C6" s="439" t="s">
        <v>286</v>
      </c>
      <c r="D6" s="440"/>
      <c r="E6" s="440"/>
      <c r="F6" s="440"/>
      <c r="G6" s="441"/>
    </row>
    <row r="7" spans="1:11" ht="18" customHeight="1" x14ac:dyDescent="0.2">
      <c r="B7" s="435" t="s">
        <v>4</v>
      </c>
      <c r="C7" s="398">
        <v>1752</v>
      </c>
      <c r="D7" s="399"/>
      <c r="E7" s="399"/>
      <c r="F7" s="399"/>
      <c r="G7" s="400"/>
    </row>
    <row r="9" spans="1:11" ht="18" customHeight="1" x14ac:dyDescent="0.2">
      <c r="B9" s="435" t="s">
        <v>1</v>
      </c>
      <c r="C9" s="436" t="s">
        <v>287</v>
      </c>
      <c r="D9" s="437"/>
      <c r="E9" s="437"/>
      <c r="F9" s="437"/>
      <c r="G9" s="438"/>
    </row>
    <row r="10" spans="1:11" ht="18" customHeight="1" x14ac:dyDescent="0.2">
      <c r="B10" s="435" t="s">
        <v>2</v>
      </c>
      <c r="C10" s="445" t="s">
        <v>288</v>
      </c>
      <c r="D10" s="446"/>
      <c r="E10" s="446"/>
      <c r="F10" s="446"/>
      <c r="G10" s="447"/>
    </row>
    <row r="11" spans="1:11" ht="18" customHeight="1" x14ac:dyDescent="0.2">
      <c r="B11" s="435" t="s">
        <v>32</v>
      </c>
      <c r="C11" s="495" t="s">
        <v>289</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6856853</v>
      </c>
      <c r="I18" s="133">
        <v>0</v>
      </c>
      <c r="J18" s="118">
        <v>5795394</v>
      </c>
      <c r="K18" s="118">
        <f>(H18+I18)-J18</f>
        <v>1061459</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856621</v>
      </c>
      <c r="G21" s="221">
        <v>21024</v>
      </c>
      <c r="H21" s="118">
        <v>729282.21094360366</v>
      </c>
      <c r="I21" s="133">
        <f t="shared" ref="I21:I34" si="0">H21*F$114</f>
        <v>508601.41391206923</v>
      </c>
      <c r="J21" s="118">
        <v>64772</v>
      </c>
      <c r="K21" s="118">
        <f t="shared" ref="K21:K34" si="1">(H21+I21)-J21</f>
        <v>1173111.6248556729</v>
      </c>
    </row>
    <row r="22" spans="1:11" ht="18" customHeight="1" x14ac:dyDescent="0.2">
      <c r="A22" s="435" t="s">
        <v>76</v>
      </c>
      <c r="B22" s="259" t="s">
        <v>6</v>
      </c>
      <c r="F22" s="221">
        <v>480</v>
      </c>
      <c r="G22" s="221">
        <v>192</v>
      </c>
      <c r="H22" s="118">
        <v>38168.955958810104</v>
      </c>
      <c r="I22" s="133">
        <f t="shared" si="0"/>
        <v>26619.029885674168</v>
      </c>
      <c r="J22" s="118">
        <v>0</v>
      </c>
      <c r="K22" s="118">
        <f t="shared" si="1"/>
        <v>64787.985844484268</v>
      </c>
    </row>
    <row r="23" spans="1:11" ht="18" customHeight="1" x14ac:dyDescent="0.2">
      <c r="A23" s="435" t="s">
        <v>77</v>
      </c>
      <c r="B23" s="259" t="s">
        <v>43</v>
      </c>
      <c r="F23" s="221">
        <v>377</v>
      </c>
      <c r="G23" s="221">
        <v>384</v>
      </c>
      <c r="H23" s="118">
        <v>15371.155489344763</v>
      </c>
      <c r="I23" s="133">
        <f t="shared" si="0"/>
        <v>10719.843838269038</v>
      </c>
      <c r="J23" s="118">
        <v>225</v>
      </c>
      <c r="K23" s="118">
        <f t="shared" si="1"/>
        <v>25865.999327613801</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v>3028</v>
      </c>
      <c r="G25" s="221">
        <v>4299</v>
      </c>
      <c r="H25" s="118">
        <v>235410</v>
      </c>
      <c r="I25" s="133">
        <f t="shared" si="0"/>
        <v>164174.93400000001</v>
      </c>
      <c r="J25" s="118">
        <v>40362</v>
      </c>
      <c r="K25" s="118">
        <f t="shared" si="1"/>
        <v>359222.93400000001</v>
      </c>
    </row>
    <row r="26" spans="1:11" ht="18" customHeight="1" x14ac:dyDescent="0.2">
      <c r="A26" s="435" t="s">
        <v>80</v>
      </c>
      <c r="B26" s="259" t="s">
        <v>45</v>
      </c>
      <c r="F26" s="221">
        <v>13</v>
      </c>
      <c r="G26" s="221">
        <v>4</v>
      </c>
      <c r="H26" s="118">
        <v>732.58437568126476</v>
      </c>
      <c r="I26" s="133">
        <f t="shared" si="0"/>
        <v>510.90434360011403</v>
      </c>
      <c r="J26" s="118">
        <v>0</v>
      </c>
      <c r="K26" s="118">
        <f t="shared" si="1"/>
        <v>1243.4887192813787</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3360.5</v>
      </c>
      <c r="G29" s="221">
        <v>0</v>
      </c>
      <c r="H29" s="118">
        <v>997820.37634978374</v>
      </c>
      <c r="I29" s="133">
        <v>412998.08761833922</v>
      </c>
      <c r="J29" s="118">
        <v>0</v>
      </c>
      <c r="K29" s="118">
        <f t="shared" si="1"/>
        <v>1410818.4639681228</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863879.5</v>
      </c>
      <c r="G36" s="221">
        <f t="shared" si="2"/>
        <v>25903</v>
      </c>
      <c r="H36" s="221">
        <f t="shared" si="2"/>
        <v>2016785.2831172235</v>
      </c>
      <c r="I36" s="118">
        <f t="shared" si="2"/>
        <v>1123624.2135979519</v>
      </c>
      <c r="J36" s="118">
        <f t="shared" si="2"/>
        <v>105359</v>
      </c>
      <c r="K36" s="118">
        <f t="shared" si="2"/>
        <v>3035050.496715175</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0</v>
      </c>
      <c r="G40" s="221">
        <v>0</v>
      </c>
      <c r="H40" s="118">
        <v>0</v>
      </c>
      <c r="I40" s="133">
        <f t="shared" ref="I40:I44" si="3">H40*F$114</f>
        <v>0</v>
      </c>
      <c r="J40" s="118">
        <v>0</v>
      </c>
      <c r="K40" s="118">
        <f t="shared" ref="K40:K47" si="4">(H40+I40)-J40</f>
        <v>0</v>
      </c>
    </row>
    <row r="41" spans="1:11" ht="18" customHeight="1" x14ac:dyDescent="0.2">
      <c r="A41" s="435" t="s">
        <v>88</v>
      </c>
      <c r="B41" s="465" t="s">
        <v>50</v>
      </c>
      <c r="C41" s="466"/>
      <c r="F41" s="221">
        <v>1130</v>
      </c>
      <c r="G41" s="221">
        <v>9</v>
      </c>
      <c r="H41" s="118">
        <v>58229.247411117962</v>
      </c>
      <c r="I41" s="133">
        <f>H41*F$114</f>
        <v>40609.077144513671</v>
      </c>
      <c r="J41" s="118">
        <v>0</v>
      </c>
      <c r="K41" s="118">
        <f t="shared" si="4"/>
        <v>98838.32455563164</v>
      </c>
    </row>
    <row r="42" spans="1:11" ht="18" customHeight="1" x14ac:dyDescent="0.2">
      <c r="A42" s="435" t="s">
        <v>89</v>
      </c>
      <c r="B42" s="419" t="s">
        <v>11</v>
      </c>
      <c r="F42" s="221">
        <v>9799</v>
      </c>
      <c r="G42" s="221">
        <v>312</v>
      </c>
      <c r="H42" s="118">
        <v>491131.3169220803</v>
      </c>
      <c r="I42" s="133">
        <f t="shared" si="3"/>
        <v>342514.98042145884</v>
      </c>
      <c r="J42" s="118">
        <v>0</v>
      </c>
      <c r="K42" s="118">
        <f t="shared" si="4"/>
        <v>833646.29734353907</v>
      </c>
    </row>
    <row r="43" spans="1:11" ht="18" customHeight="1" x14ac:dyDescent="0.2">
      <c r="A43" s="435" t="s">
        <v>90</v>
      </c>
      <c r="B43" s="467" t="s">
        <v>10</v>
      </c>
      <c r="C43" s="468"/>
      <c r="D43" s="468"/>
      <c r="F43" s="221">
        <v>104</v>
      </c>
      <c r="G43" s="221">
        <v>0</v>
      </c>
      <c r="H43" s="118">
        <v>610367.90448593814</v>
      </c>
      <c r="I43" s="133">
        <f t="shared" si="3"/>
        <v>425670.57658849325</v>
      </c>
      <c r="J43" s="118">
        <v>0</v>
      </c>
      <c r="K43" s="118">
        <f t="shared" si="4"/>
        <v>1036038.4810744314</v>
      </c>
    </row>
    <row r="44" spans="1:11" ht="18" customHeight="1" x14ac:dyDescent="0.2">
      <c r="A44" s="435" t="s">
        <v>91</v>
      </c>
      <c r="B44" s="416" t="s">
        <v>233</v>
      </c>
      <c r="C44" s="635"/>
      <c r="D44" s="636"/>
      <c r="F44" s="407">
        <v>301</v>
      </c>
      <c r="G44" s="407">
        <v>102</v>
      </c>
      <c r="H44" s="118">
        <v>25922.450312086534</v>
      </c>
      <c r="I44" s="133">
        <f t="shared" si="3"/>
        <v>18078.316847649148</v>
      </c>
      <c r="J44" s="407">
        <v>0</v>
      </c>
      <c r="K44" s="134">
        <f t="shared" si="4"/>
        <v>44000.767159735682</v>
      </c>
    </row>
    <row r="45" spans="1:11" ht="18" customHeight="1" x14ac:dyDescent="0.2">
      <c r="A45" s="435" t="s">
        <v>139</v>
      </c>
      <c r="B45" s="456"/>
      <c r="C45" s="457"/>
      <c r="D45" s="458"/>
      <c r="F45" s="221"/>
      <c r="G45" s="221"/>
      <c r="H45" s="118"/>
      <c r="I45" s="133">
        <v>0</v>
      </c>
      <c r="J45" s="118"/>
      <c r="K45" s="118">
        <f t="shared" si="4"/>
        <v>0</v>
      </c>
    </row>
    <row r="46" spans="1:11" ht="18" customHeight="1" x14ac:dyDescent="0.2">
      <c r="A46" s="435" t="s">
        <v>140</v>
      </c>
      <c r="B46" s="456"/>
      <c r="C46" s="457"/>
      <c r="D46" s="458"/>
      <c r="F46" s="221"/>
      <c r="G46" s="221"/>
      <c r="H46" s="118"/>
      <c r="I46" s="133">
        <v>0</v>
      </c>
      <c r="J46" s="118"/>
      <c r="K46" s="118">
        <f t="shared" si="4"/>
        <v>0</v>
      </c>
    </row>
    <row r="47" spans="1:11" ht="18" customHeight="1" x14ac:dyDescent="0.2">
      <c r="A47" s="435" t="s">
        <v>141</v>
      </c>
      <c r="B47" s="456"/>
      <c r="C47" s="457"/>
      <c r="D47" s="458"/>
      <c r="F47" s="221"/>
      <c r="G47" s="221"/>
      <c r="H47" s="118"/>
      <c r="I47" s="133">
        <v>0</v>
      </c>
      <c r="J47" s="118"/>
      <c r="K47" s="118">
        <f t="shared" si="4"/>
        <v>0</v>
      </c>
    </row>
    <row r="49" spans="1:11" ht="18" customHeight="1" x14ac:dyDescent="0.2">
      <c r="A49" s="455" t="s">
        <v>142</v>
      </c>
      <c r="B49" s="421" t="s">
        <v>143</v>
      </c>
      <c r="E49" s="421" t="s">
        <v>7</v>
      </c>
      <c r="F49" s="409">
        <f t="shared" ref="F49:K49" si="5">SUM(F40:F47)</f>
        <v>11334</v>
      </c>
      <c r="G49" s="409">
        <f t="shared" si="5"/>
        <v>423</v>
      </c>
      <c r="H49" s="118">
        <f t="shared" si="5"/>
        <v>1185650.9191312229</v>
      </c>
      <c r="I49" s="118">
        <f t="shared" si="5"/>
        <v>826872.95100211492</v>
      </c>
      <c r="J49" s="118">
        <f t="shared" si="5"/>
        <v>0</v>
      </c>
      <c r="K49" s="118">
        <f t="shared" si="5"/>
        <v>2012523.870133338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10" t="s">
        <v>792</v>
      </c>
      <c r="C53" s="411"/>
      <c r="D53" s="412"/>
      <c r="F53" s="221"/>
      <c r="G53" s="221"/>
      <c r="H53" s="118">
        <v>1409807</v>
      </c>
      <c r="I53" s="133">
        <v>0</v>
      </c>
      <c r="J53" s="118"/>
      <c r="K53" s="118">
        <f t="shared" ref="K53:K62" si="6">(H53+I53)-J53</f>
        <v>1409807</v>
      </c>
    </row>
    <row r="54" spans="1:11" ht="18" customHeight="1" x14ac:dyDescent="0.2">
      <c r="A54" s="435" t="s">
        <v>93</v>
      </c>
      <c r="B54" s="413" t="s">
        <v>793</v>
      </c>
      <c r="C54" s="414"/>
      <c r="D54" s="415"/>
      <c r="F54" s="221"/>
      <c r="G54" s="221"/>
      <c r="H54" s="118">
        <v>639431</v>
      </c>
      <c r="I54" s="133">
        <v>0</v>
      </c>
      <c r="J54" s="118"/>
      <c r="K54" s="118">
        <f t="shared" si="6"/>
        <v>639431</v>
      </c>
    </row>
    <row r="55" spans="1:11" ht="18" customHeight="1" x14ac:dyDescent="0.2">
      <c r="A55" s="435" t="s">
        <v>94</v>
      </c>
      <c r="B55" s="416" t="s">
        <v>794</v>
      </c>
      <c r="C55" s="417"/>
      <c r="D55" s="412"/>
      <c r="F55" s="221"/>
      <c r="G55" s="221"/>
      <c r="H55" s="118">
        <v>258054</v>
      </c>
      <c r="I55" s="133">
        <v>0</v>
      </c>
      <c r="J55" s="118"/>
      <c r="K55" s="118">
        <f t="shared" si="6"/>
        <v>258054</v>
      </c>
    </row>
    <row r="56" spans="1:11" ht="18" customHeight="1" x14ac:dyDescent="0.2">
      <c r="A56" s="435" t="s">
        <v>95</v>
      </c>
      <c r="B56" s="416" t="s">
        <v>795</v>
      </c>
      <c r="C56" s="417"/>
      <c r="D56" s="412"/>
      <c r="F56" s="221"/>
      <c r="G56" s="221"/>
      <c r="H56" s="118">
        <v>471000</v>
      </c>
      <c r="I56" s="133">
        <v>0</v>
      </c>
      <c r="J56" s="118"/>
      <c r="K56" s="118">
        <f t="shared" si="6"/>
        <v>471000</v>
      </c>
    </row>
    <row r="57" spans="1:11" ht="18" customHeight="1" x14ac:dyDescent="0.2">
      <c r="A57" s="435" t="s">
        <v>96</v>
      </c>
      <c r="B57" s="416" t="s">
        <v>796</v>
      </c>
      <c r="C57" s="417"/>
      <c r="D57" s="412"/>
      <c r="F57" s="221"/>
      <c r="G57" s="221"/>
      <c r="H57" s="118">
        <v>3391330</v>
      </c>
      <c r="I57" s="133">
        <v>0</v>
      </c>
      <c r="J57" s="118"/>
      <c r="K57" s="118">
        <f t="shared" si="6"/>
        <v>3391330</v>
      </c>
    </row>
    <row r="58" spans="1:11" ht="18" customHeight="1" x14ac:dyDescent="0.2">
      <c r="A58" s="435" t="s">
        <v>97</v>
      </c>
      <c r="B58" s="413" t="s">
        <v>797</v>
      </c>
      <c r="C58" s="414"/>
      <c r="D58" s="415"/>
      <c r="F58" s="221"/>
      <c r="G58" s="221"/>
      <c r="H58" s="118">
        <v>1252293</v>
      </c>
      <c r="I58" s="133">
        <v>0</v>
      </c>
      <c r="J58" s="118"/>
      <c r="K58" s="118">
        <f t="shared" si="6"/>
        <v>1252293</v>
      </c>
    </row>
    <row r="59" spans="1:11" ht="18" customHeight="1" x14ac:dyDescent="0.2">
      <c r="A59" s="435" t="s">
        <v>98</v>
      </c>
      <c r="B59" s="416" t="s">
        <v>798</v>
      </c>
      <c r="C59" s="417"/>
      <c r="D59" s="412"/>
      <c r="F59" s="221"/>
      <c r="G59" s="221"/>
      <c r="H59" s="118">
        <v>151900</v>
      </c>
      <c r="I59" s="133">
        <v>0</v>
      </c>
      <c r="J59" s="118"/>
      <c r="K59" s="118">
        <f t="shared" si="6"/>
        <v>151900</v>
      </c>
    </row>
    <row r="60" spans="1:11" ht="18" customHeight="1" x14ac:dyDescent="0.2">
      <c r="A60" s="435" t="s">
        <v>99</v>
      </c>
      <c r="B60" s="413" t="s">
        <v>799</v>
      </c>
      <c r="C60" s="414"/>
      <c r="D60" s="415"/>
      <c r="F60" s="221"/>
      <c r="G60" s="221"/>
      <c r="H60" s="118">
        <v>213255</v>
      </c>
      <c r="I60" s="133">
        <v>0</v>
      </c>
      <c r="J60" s="118"/>
      <c r="K60" s="118">
        <f t="shared" si="6"/>
        <v>213255</v>
      </c>
    </row>
    <row r="61" spans="1:11" ht="18" customHeight="1" x14ac:dyDescent="0.2">
      <c r="A61" s="435" t="s">
        <v>773</v>
      </c>
      <c r="B61" s="413" t="s">
        <v>800</v>
      </c>
      <c r="C61" s="414"/>
      <c r="D61" s="415"/>
      <c r="F61" s="221"/>
      <c r="G61" s="221"/>
      <c r="H61" s="118">
        <v>6811559</v>
      </c>
      <c r="I61" s="133">
        <v>0</v>
      </c>
      <c r="J61" s="118"/>
      <c r="K61" s="118">
        <f t="shared" si="6"/>
        <v>6811559</v>
      </c>
    </row>
    <row r="62" spans="1:11" ht="18" customHeight="1" x14ac:dyDescent="0.2">
      <c r="A62" s="435" t="s">
        <v>101</v>
      </c>
      <c r="B62" s="416" t="s">
        <v>801</v>
      </c>
      <c r="C62" s="417"/>
      <c r="D62" s="412"/>
      <c r="F62" s="221">
        <v>416</v>
      </c>
      <c r="G62" s="221">
        <v>0</v>
      </c>
      <c r="H62" s="118">
        <v>61397</v>
      </c>
      <c r="I62" s="133">
        <f t="shared" ref="I62" si="7">H62*F$114</f>
        <v>42818.267800000001</v>
      </c>
      <c r="J62" s="118"/>
      <c r="K62" s="118">
        <f t="shared" si="6"/>
        <v>104215.2678</v>
      </c>
    </row>
    <row r="63" spans="1:11" ht="18" customHeight="1" x14ac:dyDescent="0.2">
      <c r="A63" s="435"/>
      <c r="I63" s="129"/>
    </row>
    <row r="64" spans="1:11" ht="18" customHeight="1" x14ac:dyDescent="0.2">
      <c r="A64" s="435" t="s">
        <v>144</v>
      </c>
      <c r="B64" s="421" t="s">
        <v>145</v>
      </c>
      <c r="E64" s="421" t="s">
        <v>7</v>
      </c>
      <c r="F64" s="221">
        <f t="shared" ref="F64:K64" si="8">SUM(F53:F62)</f>
        <v>416</v>
      </c>
      <c r="G64" s="221">
        <f t="shared" si="8"/>
        <v>0</v>
      </c>
      <c r="H64" s="118">
        <f t="shared" si="8"/>
        <v>14660026</v>
      </c>
      <c r="I64" s="118">
        <f t="shared" si="8"/>
        <v>42818.267800000001</v>
      </c>
      <c r="J64" s="118">
        <f t="shared" si="8"/>
        <v>0</v>
      </c>
      <c r="K64" s="118">
        <f t="shared" si="8"/>
        <v>14702844.2678</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887">
        <v>330646</v>
      </c>
      <c r="I68" s="133">
        <v>0</v>
      </c>
      <c r="J68" s="887">
        <v>174059</v>
      </c>
      <c r="K68" s="118">
        <f>(H68+I68)-J68</f>
        <v>156587</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13" t="s">
        <v>802</v>
      </c>
      <c r="C70" s="414"/>
      <c r="D70" s="415"/>
      <c r="E70" s="421"/>
      <c r="F70" s="422"/>
      <c r="G70" s="422"/>
      <c r="H70" s="423">
        <v>7040.5</v>
      </c>
      <c r="I70" s="133">
        <v>0</v>
      </c>
      <c r="J70" s="423">
        <v>0</v>
      </c>
      <c r="K70" s="118">
        <f>(H70+I70)-J70</f>
        <v>7040.5</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9">SUM(F68:F72)</f>
        <v>0</v>
      </c>
      <c r="G74" s="122">
        <f t="shared" si="9"/>
        <v>0</v>
      </c>
      <c r="H74" s="275">
        <f t="shared" si="9"/>
        <v>337686.5</v>
      </c>
      <c r="I74" s="133">
        <f t="shared" si="9"/>
        <v>0</v>
      </c>
      <c r="J74" s="275">
        <f t="shared" si="9"/>
        <v>174059</v>
      </c>
      <c r="K74" s="118">
        <f t="shared" si="9"/>
        <v>163627.5</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290227</v>
      </c>
      <c r="I77" s="133">
        <v>0</v>
      </c>
      <c r="J77" s="118"/>
      <c r="K77" s="118">
        <f>(H77+I77)-J77</f>
        <v>290227</v>
      </c>
    </row>
    <row r="78" spans="1:11" ht="18" customHeight="1" x14ac:dyDescent="0.2">
      <c r="A78" s="435" t="s">
        <v>108</v>
      </c>
      <c r="B78" s="419" t="s">
        <v>55</v>
      </c>
      <c r="F78" s="221">
        <v>6</v>
      </c>
      <c r="G78" s="221">
        <v>262</v>
      </c>
      <c r="H78" s="118">
        <v>120.92176765027753</v>
      </c>
      <c r="I78" s="133">
        <v>0</v>
      </c>
      <c r="J78" s="118"/>
      <c r="K78" s="118">
        <f>(H78+I78)-J78</f>
        <v>120.92176765027753</v>
      </c>
    </row>
    <row r="79" spans="1:11" ht="18" customHeight="1" x14ac:dyDescent="0.2">
      <c r="A79" s="435" t="s">
        <v>109</v>
      </c>
      <c r="B79" s="419" t="s">
        <v>13</v>
      </c>
      <c r="F79" s="221">
        <v>278</v>
      </c>
      <c r="G79" s="221">
        <v>362</v>
      </c>
      <c r="H79" s="118">
        <v>119270.50971432767</v>
      </c>
      <c r="I79" s="133">
        <v>0</v>
      </c>
      <c r="J79" s="118"/>
      <c r="K79" s="118">
        <f>(H79+I79)-J79</f>
        <v>119270.50971432767</v>
      </c>
    </row>
    <row r="80" spans="1:11" ht="18" customHeight="1" x14ac:dyDescent="0.2">
      <c r="A80" s="435" t="s">
        <v>110</v>
      </c>
      <c r="B80" s="419" t="s">
        <v>56</v>
      </c>
      <c r="F80" s="221">
        <v>0</v>
      </c>
      <c r="G80" s="221">
        <v>0</v>
      </c>
      <c r="H80" s="118">
        <v>0</v>
      </c>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0">SUM(F77:F80)</f>
        <v>284</v>
      </c>
      <c r="G82" s="122">
        <f t="shared" si="10"/>
        <v>624</v>
      </c>
      <c r="H82" s="118">
        <f t="shared" si="10"/>
        <v>409618.43148197792</v>
      </c>
      <c r="I82" s="118">
        <f t="shared" si="10"/>
        <v>0</v>
      </c>
      <c r="J82" s="118">
        <f t="shared" si="10"/>
        <v>0</v>
      </c>
      <c r="K82" s="118">
        <f t="shared" si="10"/>
        <v>409618.43148197792</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8</v>
      </c>
      <c r="G86" s="221">
        <v>1</v>
      </c>
      <c r="H86" s="118">
        <v>503.84069854282302</v>
      </c>
      <c r="I86" s="133">
        <f t="shared" ref="I86:I96" si="11">H86*F$114</f>
        <v>351.37850316376478</v>
      </c>
      <c r="J86" s="118">
        <v>0</v>
      </c>
      <c r="K86" s="118">
        <f t="shared" ref="K86:K96" si="12">(H86+I86)-J86</f>
        <v>855.2192017065878</v>
      </c>
    </row>
    <row r="87" spans="1:11" ht="18" customHeight="1" x14ac:dyDescent="0.2">
      <c r="A87" s="435" t="s">
        <v>114</v>
      </c>
      <c r="B87" s="419" t="s">
        <v>14</v>
      </c>
      <c r="F87" s="221">
        <v>0</v>
      </c>
      <c r="G87" s="221">
        <v>0</v>
      </c>
      <c r="H87" s="118">
        <v>0</v>
      </c>
      <c r="I87" s="133">
        <f t="shared" si="11"/>
        <v>0</v>
      </c>
      <c r="J87" s="118">
        <v>0</v>
      </c>
      <c r="K87" s="118">
        <f t="shared" si="12"/>
        <v>0</v>
      </c>
    </row>
    <row r="88" spans="1:11" ht="18" customHeight="1" x14ac:dyDescent="0.2">
      <c r="A88" s="435" t="s">
        <v>115</v>
      </c>
      <c r="B88" s="419" t="s">
        <v>116</v>
      </c>
      <c r="F88" s="221">
        <v>2494</v>
      </c>
      <c r="G88" s="221">
        <v>172</v>
      </c>
      <c r="H88" s="118">
        <v>271962.5125783151</v>
      </c>
      <c r="I88" s="133">
        <f t="shared" si="11"/>
        <v>189666.65627211696</v>
      </c>
      <c r="J88" s="118">
        <v>0</v>
      </c>
      <c r="K88" s="118">
        <f t="shared" si="12"/>
        <v>461629.16885043203</v>
      </c>
    </row>
    <row r="89" spans="1:11" ht="18" customHeight="1" x14ac:dyDescent="0.2">
      <c r="A89" s="435" t="s">
        <v>117</v>
      </c>
      <c r="B89" s="419" t="s">
        <v>58</v>
      </c>
      <c r="F89" s="221">
        <v>0</v>
      </c>
      <c r="G89" s="221">
        <v>0</v>
      </c>
      <c r="H89" s="118">
        <v>0</v>
      </c>
      <c r="I89" s="133">
        <f t="shared" si="11"/>
        <v>0</v>
      </c>
      <c r="J89" s="118">
        <v>0</v>
      </c>
      <c r="K89" s="118">
        <f t="shared" si="12"/>
        <v>0</v>
      </c>
    </row>
    <row r="90" spans="1:11" ht="18" customHeight="1" x14ac:dyDescent="0.2">
      <c r="A90" s="435" t="s">
        <v>118</v>
      </c>
      <c r="B90" s="465" t="s">
        <v>59</v>
      </c>
      <c r="C90" s="466"/>
      <c r="F90" s="221">
        <v>0</v>
      </c>
      <c r="G90" s="221">
        <v>0</v>
      </c>
      <c r="H90" s="118">
        <v>0</v>
      </c>
      <c r="I90" s="133">
        <f t="shared" si="11"/>
        <v>0</v>
      </c>
      <c r="J90" s="118">
        <v>0</v>
      </c>
      <c r="K90" s="118">
        <f t="shared" si="12"/>
        <v>0</v>
      </c>
    </row>
    <row r="91" spans="1:11" ht="18" customHeight="1" x14ac:dyDescent="0.2">
      <c r="A91" s="435" t="s">
        <v>119</v>
      </c>
      <c r="B91" s="419" t="s">
        <v>60</v>
      </c>
      <c r="F91" s="221">
        <v>0</v>
      </c>
      <c r="G91" s="221">
        <v>0</v>
      </c>
      <c r="H91" s="118">
        <v>0</v>
      </c>
      <c r="I91" s="133">
        <f t="shared" si="11"/>
        <v>0</v>
      </c>
      <c r="J91" s="118">
        <v>0</v>
      </c>
      <c r="K91" s="118">
        <f t="shared" si="12"/>
        <v>0</v>
      </c>
    </row>
    <row r="92" spans="1:11" ht="18" customHeight="1" x14ac:dyDescent="0.2">
      <c r="A92" s="435" t="s">
        <v>120</v>
      </c>
      <c r="B92" s="419" t="s">
        <v>121</v>
      </c>
      <c r="F92" s="257">
        <v>0</v>
      </c>
      <c r="G92" s="257">
        <v>0</v>
      </c>
      <c r="H92" s="429">
        <v>0</v>
      </c>
      <c r="I92" s="133">
        <f t="shared" si="11"/>
        <v>0</v>
      </c>
      <c r="J92" s="429">
        <v>0</v>
      </c>
      <c r="K92" s="118">
        <f t="shared" si="12"/>
        <v>0</v>
      </c>
    </row>
    <row r="93" spans="1:11" ht="18" customHeight="1" x14ac:dyDescent="0.2">
      <c r="A93" s="435" t="s">
        <v>122</v>
      </c>
      <c r="B93" s="419" t="s">
        <v>123</v>
      </c>
      <c r="F93" s="221">
        <v>0</v>
      </c>
      <c r="G93" s="221">
        <v>0</v>
      </c>
      <c r="H93" s="118">
        <v>0</v>
      </c>
      <c r="I93" s="133">
        <f t="shared" si="11"/>
        <v>0</v>
      </c>
      <c r="J93" s="118">
        <v>0</v>
      </c>
      <c r="K93" s="118">
        <f t="shared" si="12"/>
        <v>0</v>
      </c>
    </row>
    <row r="94" spans="1:11" ht="18" customHeight="1" x14ac:dyDescent="0.2">
      <c r="A94" s="435" t="s">
        <v>124</v>
      </c>
      <c r="B94" s="416" t="s">
        <v>803</v>
      </c>
      <c r="C94" s="417"/>
      <c r="D94" s="412"/>
      <c r="F94" s="221">
        <v>0</v>
      </c>
      <c r="G94" s="221">
        <v>0</v>
      </c>
      <c r="H94" s="118">
        <v>0</v>
      </c>
      <c r="I94" s="133">
        <f t="shared" si="11"/>
        <v>0</v>
      </c>
      <c r="J94" s="118">
        <v>0</v>
      </c>
      <c r="K94" s="118">
        <f t="shared" si="12"/>
        <v>0</v>
      </c>
    </row>
    <row r="95" spans="1:11" ht="18" customHeight="1" x14ac:dyDescent="0.2">
      <c r="A95" s="435" t="s">
        <v>125</v>
      </c>
      <c r="B95" s="418"/>
      <c r="C95" s="417"/>
      <c r="D95" s="412"/>
      <c r="F95" s="221"/>
      <c r="G95" s="221"/>
      <c r="H95" s="118"/>
      <c r="I95" s="133">
        <f t="shared" si="11"/>
        <v>0</v>
      </c>
      <c r="J95" s="118"/>
      <c r="K95" s="118">
        <f t="shared" si="12"/>
        <v>0</v>
      </c>
    </row>
    <row r="96" spans="1:11" ht="18" customHeight="1" x14ac:dyDescent="0.2">
      <c r="A96" s="435" t="s">
        <v>126</v>
      </c>
      <c r="B96" s="418"/>
      <c r="C96" s="417"/>
      <c r="D96" s="412"/>
      <c r="F96" s="221"/>
      <c r="G96" s="221"/>
      <c r="H96" s="118"/>
      <c r="I96" s="133">
        <f t="shared" si="11"/>
        <v>0</v>
      </c>
      <c r="J96" s="118"/>
      <c r="K96" s="118">
        <f t="shared" si="12"/>
        <v>0</v>
      </c>
    </row>
    <row r="97" spans="1:11" ht="18" customHeight="1" x14ac:dyDescent="0.2">
      <c r="A97" s="435"/>
      <c r="B97" s="419"/>
    </row>
    <row r="98" spans="1:11" ht="18" customHeight="1" x14ac:dyDescent="0.2">
      <c r="A98" s="455" t="s">
        <v>150</v>
      </c>
      <c r="B98" s="421" t="s">
        <v>151</v>
      </c>
      <c r="E98" s="421" t="s">
        <v>7</v>
      </c>
      <c r="F98" s="221">
        <f t="shared" ref="F98:K98" si="13">SUM(F86:F96)</f>
        <v>2502</v>
      </c>
      <c r="G98" s="221">
        <f t="shared" si="13"/>
        <v>173</v>
      </c>
      <c r="H98" s="118">
        <f t="shared" si="13"/>
        <v>272466.35327685793</v>
      </c>
      <c r="I98" s="118">
        <f t="shared" si="13"/>
        <v>190018.03477528071</v>
      </c>
      <c r="J98" s="118">
        <f t="shared" si="13"/>
        <v>0</v>
      </c>
      <c r="K98" s="118">
        <f t="shared" si="13"/>
        <v>462484.38805213862</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2580</v>
      </c>
      <c r="G102" s="221">
        <v>9</v>
      </c>
      <c r="H102" s="118">
        <v>285927.54327220551</v>
      </c>
      <c r="I102" s="133">
        <f>H102*F$114</f>
        <v>199405.86867803612</v>
      </c>
      <c r="J102" s="118">
        <v>0</v>
      </c>
      <c r="K102" s="118">
        <f>(H102+I102)-J102</f>
        <v>485333.41195024166</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2580</v>
      </c>
      <c r="G108" s="221">
        <f t="shared" si="14"/>
        <v>9</v>
      </c>
      <c r="H108" s="118">
        <f t="shared" si="14"/>
        <v>285927.54327220551</v>
      </c>
      <c r="I108" s="118">
        <f t="shared" si="14"/>
        <v>199405.86867803612</v>
      </c>
      <c r="J108" s="118">
        <f t="shared" si="14"/>
        <v>0</v>
      </c>
      <c r="K108" s="118">
        <f t="shared" si="14"/>
        <v>485333.41195024166</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4598000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0.69740000000000002</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268126000</v>
      </c>
    </row>
    <row r="118" spans="1:6" ht="18" customHeight="1" x14ac:dyDescent="0.2">
      <c r="A118" s="435" t="s">
        <v>173</v>
      </c>
      <c r="B118" s="259" t="s">
        <v>18</v>
      </c>
      <c r="F118" s="118">
        <v>8769000</v>
      </c>
    </row>
    <row r="119" spans="1:6" ht="18" customHeight="1" x14ac:dyDescent="0.2">
      <c r="A119" s="435" t="s">
        <v>174</v>
      </c>
      <c r="B119" s="421" t="s">
        <v>19</v>
      </c>
      <c r="F119" s="118">
        <f>SUM(F117:F118)</f>
        <v>276895000</v>
      </c>
    </row>
    <row r="120" spans="1:6" ht="18" customHeight="1" x14ac:dyDescent="0.2">
      <c r="A120" s="435"/>
      <c r="B120" s="421"/>
    </row>
    <row r="121" spans="1:6" ht="18" customHeight="1" x14ac:dyDescent="0.2">
      <c r="A121" s="435" t="s">
        <v>167</v>
      </c>
      <c r="B121" s="421" t="s">
        <v>36</v>
      </c>
      <c r="F121" s="118">
        <v>265393000</v>
      </c>
    </row>
    <row r="122" spans="1:6" ht="18" customHeight="1" x14ac:dyDescent="0.2">
      <c r="A122" s="435"/>
    </row>
    <row r="123" spans="1:6" ht="18" customHeight="1" x14ac:dyDescent="0.2">
      <c r="A123" s="435" t="s">
        <v>175</v>
      </c>
      <c r="B123" s="421" t="s">
        <v>20</v>
      </c>
      <c r="F123" s="118">
        <f>F119-F121</f>
        <v>11502000</v>
      </c>
    </row>
    <row r="124" spans="1:6" ht="18" customHeight="1" x14ac:dyDescent="0.2">
      <c r="A124" s="435"/>
    </row>
    <row r="125" spans="1:6" ht="18" customHeight="1" x14ac:dyDescent="0.2">
      <c r="A125" s="435" t="s">
        <v>176</v>
      </c>
      <c r="B125" s="421" t="s">
        <v>21</v>
      </c>
      <c r="F125" s="118">
        <v>6491000</v>
      </c>
    </row>
    <row r="126" spans="1:6" ht="18" customHeight="1" x14ac:dyDescent="0.2">
      <c r="A126" s="435"/>
    </row>
    <row r="127" spans="1:6" ht="18" customHeight="1" x14ac:dyDescent="0.2">
      <c r="A127" s="435" t="s">
        <v>177</v>
      </c>
      <c r="B127" s="421" t="s">
        <v>22</v>
      </c>
      <c r="F127" s="118">
        <f>F123+F125</f>
        <v>17993000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118">
        <f t="shared" si="15"/>
        <v>0</v>
      </c>
      <c r="I137" s="118">
        <f t="shared" si="15"/>
        <v>0</v>
      </c>
      <c r="J137" s="118">
        <f t="shared" si="15"/>
        <v>0</v>
      </c>
      <c r="K137" s="118">
        <f t="shared" si="15"/>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6">F36</f>
        <v>863879.5</v>
      </c>
      <c r="G141" s="422">
        <f t="shared" si="16"/>
        <v>25903</v>
      </c>
      <c r="H141" s="422">
        <f t="shared" si="16"/>
        <v>2016785.2831172235</v>
      </c>
      <c r="I141" s="422">
        <f t="shared" si="16"/>
        <v>1123624.2135979519</v>
      </c>
      <c r="J141" s="422">
        <f t="shared" si="16"/>
        <v>105359</v>
      </c>
      <c r="K141" s="422">
        <f t="shared" si="16"/>
        <v>3035050.496715175</v>
      </c>
    </row>
    <row r="142" spans="1:11" ht="18" customHeight="1" x14ac:dyDescent="0.2">
      <c r="A142" s="435" t="s">
        <v>142</v>
      </c>
      <c r="B142" s="421" t="s">
        <v>65</v>
      </c>
      <c r="F142" s="422">
        <f t="shared" ref="F142:K142" si="17">F49</f>
        <v>11334</v>
      </c>
      <c r="G142" s="422">
        <f t="shared" si="17"/>
        <v>423</v>
      </c>
      <c r="H142" s="422">
        <f t="shared" si="17"/>
        <v>1185650.9191312229</v>
      </c>
      <c r="I142" s="422">
        <f t="shared" si="17"/>
        <v>826872.95100211492</v>
      </c>
      <c r="J142" s="422">
        <f t="shared" si="17"/>
        <v>0</v>
      </c>
      <c r="K142" s="422">
        <f t="shared" si="17"/>
        <v>2012523.870133338</v>
      </c>
    </row>
    <row r="143" spans="1:11" ht="18" customHeight="1" x14ac:dyDescent="0.2">
      <c r="A143" s="435" t="s">
        <v>144</v>
      </c>
      <c r="B143" s="421" t="s">
        <v>66</v>
      </c>
      <c r="F143" s="422">
        <f t="shared" ref="F143:K143" si="18">F64</f>
        <v>416</v>
      </c>
      <c r="G143" s="422">
        <f t="shared" si="18"/>
        <v>0</v>
      </c>
      <c r="H143" s="422">
        <f t="shared" si="18"/>
        <v>14660026</v>
      </c>
      <c r="I143" s="422">
        <f t="shared" si="18"/>
        <v>42818.267800000001</v>
      </c>
      <c r="J143" s="422">
        <f t="shared" si="18"/>
        <v>0</v>
      </c>
      <c r="K143" s="422">
        <f t="shared" si="18"/>
        <v>14702844.2678</v>
      </c>
    </row>
    <row r="144" spans="1:11" ht="18" customHeight="1" x14ac:dyDescent="0.2">
      <c r="A144" s="435" t="s">
        <v>146</v>
      </c>
      <c r="B144" s="421" t="s">
        <v>67</v>
      </c>
      <c r="F144" s="422">
        <f t="shared" ref="F144:K144" si="19">F74</f>
        <v>0</v>
      </c>
      <c r="G144" s="422">
        <f t="shared" si="19"/>
        <v>0</v>
      </c>
      <c r="H144" s="422">
        <f t="shared" si="19"/>
        <v>337686.5</v>
      </c>
      <c r="I144" s="422">
        <f t="shared" si="19"/>
        <v>0</v>
      </c>
      <c r="J144" s="422">
        <f t="shared" si="19"/>
        <v>174059</v>
      </c>
      <c r="K144" s="422">
        <f t="shared" si="19"/>
        <v>163627.5</v>
      </c>
    </row>
    <row r="145" spans="1:11" ht="18" customHeight="1" x14ac:dyDescent="0.2">
      <c r="A145" s="435" t="s">
        <v>148</v>
      </c>
      <c r="B145" s="421" t="s">
        <v>68</v>
      </c>
      <c r="F145" s="422">
        <f t="shared" ref="F145:K145" si="20">F82</f>
        <v>284</v>
      </c>
      <c r="G145" s="422">
        <f t="shared" si="20"/>
        <v>624</v>
      </c>
      <c r="H145" s="422">
        <f t="shared" si="20"/>
        <v>409618.43148197792</v>
      </c>
      <c r="I145" s="422">
        <f t="shared" si="20"/>
        <v>0</v>
      </c>
      <c r="J145" s="422">
        <f t="shared" si="20"/>
        <v>0</v>
      </c>
      <c r="K145" s="422">
        <f t="shared" si="20"/>
        <v>409618.43148197792</v>
      </c>
    </row>
    <row r="146" spans="1:11" ht="18" customHeight="1" x14ac:dyDescent="0.2">
      <c r="A146" s="435" t="s">
        <v>150</v>
      </c>
      <c r="B146" s="421" t="s">
        <v>69</v>
      </c>
      <c r="F146" s="422">
        <f t="shared" ref="F146:K146" si="21">F98</f>
        <v>2502</v>
      </c>
      <c r="G146" s="422">
        <f t="shared" si="21"/>
        <v>173</v>
      </c>
      <c r="H146" s="422">
        <f t="shared" si="21"/>
        <v>272466.35327685793</v>
      </c>
      <c r="I146" s="422">
        <f t="shared" si="21"/>
        <v>190018.03477528071</v>
      </c>
      <c r="J146" s="422">
        <f t="shared" si="21"/>
        <v>0</v>
      </c>
      <c r="K146" s="422">
        <f t="shared" si="21"/>
        <v>462484.38805213862</v>
      </c>
    </row>
    <row r="147" spans="1:11" ht="18" customHeight="1" x14ac:dyDescent="0.2">
      <c r="A147" s="435" t="s">
        <v>153</v>
      </c>
      <c r="B147" s="421" t="s">
        <v>61</v>
      </c>
      <c r="F147" s="221">
        <f t="shared" ref="F147:K147" si="22">F108</f>
        <v>2580</v>
      </c>
      <c r="G147" s="221">
        <f t="shared" si="22"/>
        <v>9</v>
      </c>
      <c r="H147" s="221">
        <f t="shared" si="22"/>
        <v>285927.54327220551</v>
      </c>
      <c r="I147" s="221">
        <f t="shared" si="22"/>
        <v>199405.86867803612</v>
      </c>
      <c r="J147" s="221">
        <f t="shared" si="22"/>
        <v>0</v>
      </c>
      <c r="K147" s="221">
        <f t="shared" si="22"/>
        <v>485333.41195024166</v>
      </c>
    </row>
    <row r="148" spans="1:11" ht="18" customHeight="1" x14ac:dyDescent="0.2">
      <c r="A148" s="435" t="s">
        <v>155</v>
      </c>
      <c r="B148" s="421" t="s">
        <v>70</v>
      </c>
      <c r="F148" s="485" t="s">
        <v>73</v>
      </c>
      <c r="G148" s="485" t="s">
        <v>73</v>
      </c>
      <c r="H148" s="486" t="s">
        <v>73</v>
      </c>
      <c r="I148" s="486" t="s">
        <v>73</v>
      </c>
      <c r="J148" s="486" t="s">
        <v>73</v>
      </c>
      <c r="K148" s="886">
        <f>F111</f>
        <v>4598000</v>
      </c>
    </row>
    <row r="149" spans="1:11" ht="18" customHeight="1" x14ac:dyDescent="0.2">
      <c r="A149" s="435" t="s">
        <v>163</v>
      </c>
      <c r="B149" s="421" t="s">
        <v>71</v>
      </c>
      <c r="F149" s="221">
        <f t="shared" ref="F149:K149" si="23">F137</f>
        <v>0</v>
      </c>
      <c r="G149" s="221">
        <f t="shared" si="23"/>
        <v>0</v>
      </c>
      <c r="H149" s="221">
        <f t="shared" si="23"/>
        <v>0</v>
      </c>
      <c r="I149" s="221">
        <f t="shared" si="23"/>
        <v>0</v>
      </c>
      <c r="J149" s="221">
        <f t="shared" si="23"/>
        <v>0</v>
      </c>
      <c r="K149" s="221">
        <f t="shared" si="23"/>
        <v>0</v>
      </c>
    </row>
    <row r="150" spans="1:11" ht="18" customHeight="1" x14ac:dyDescent="0.2">
      <c r="A150" s="435" t="s">
        <v>185</v>
      </c>
      <c r="B150" s="421" t="s">
        <v>186</v>
      </c>
      <c r="F150" s="485" t="s">
        <v>73</v>
      </c>
      <c r="G150" s="485" t="s">
        <v>73</v>
      </c>
      <c r="H150" s="221">
        <f>H18</f>
        <v>6856853</v>
      </c>
      <c r="I150" s="221">
        <f>I18</f>
        <v>0</v>
      </c>
      <c r="J150" s="221">
        <f>J18</f>
        <v>5795394</v>
      </c>
      <c r="K150" s="221">
        <f>K18</f>
        <v>1061459</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4">SUM(F141:F150)</f>
        <v>880995.5</v>
      </c>
      <c r="G152" s="487">
        <f t="shared" si="24"/>
        <v>27132</v>
      </c>
      <c r="H152" s="487">
        <f t="shared" si="24"/>
        <v>26025014.030279487</v>
      </c>
      <c r="I152" s="487">
        <f t="shared" si="24"/>
        <v>2382739.3358533839</v>
      </c>
      <c r="J152" s="487">
        <f t="shared" si="24"/>
        <v>6074812</v>
      </c>
      <c r="K152" s="487">
        <f t="shared" si="24"/>
        <v>26930941.36613287</v>
      </c>
    </row>
    <row r="154" spans="1:11" ht="18" customHeight="1" x14ac:dyDescent="0.2">
      <c r="A154" s="455" t="s">
        <v>168</v>
      </c>
      <c r="B154" s="421" t="s">
        <v>28</v>
      </c>
      <c r="F154" s="140">
        <f>K152/F121</f>
        <v>0.10147570345160901</v>
      </c>
    </row>
    <row r="155" spans="1:11" ht="18" customHeight="1" x14ac:dyDescent="0.2">
      <c r="A155" s="455" t="s">
        <v>169</v>
      </c>
      <c r="B155" s="421" t="s">
        <v>72</v>
      </c>
      <c r="F155" s="140">
        <f>K152/F127</f>
        <v>1.496745476915071</v>
      </c>
      <c r="G155" s="421"/>
    </row>
    <row r="156" spans="1:11" ht="18" customHeight="1" x14ac:dyDescent="0.2">
      <c r="G156" s="421"/>
    </row>
  </sheetData>
  <sheetProtection algorithmName="SHA-512" hashValue="hdKigy46Q7TPRnuXh+sUaqe4E6BarW/rZT19S8Jk3Oul/rPCgvVOJSK/8zdvZJFJOYu6A9dqlYQ28LcwJQVj+g==" saltValue="x22SeH/PEVSgKAGGRwfIIg==" spinCount="100000" sheet="1" objects="1" scenarios="1"/>
  <mergeCells count="34">
    <mergeCell ref="C5:G5"/>
    <mergeCell ref="C6:G6"/>
    <mergeCell ref="C7:G7"/>
    <mergeCell ref="C9:G9"/>
    <mergeCell ref="C10:G10"/>
    <mergeCell ref="B34:D34"/>
    <mergeCell ref="C11:G11"/>
    <mergeCell ref="B41:C41"/>
    <mergeCell ref="B44:D44"/>
    <mergeCell ref="B13:H13"/>
    <mergeCell ref="B30:D30"/>
    <mergeCell ref="B31:D31"/>
    <mergeCell ref="B56:D56"/>
    <mergeCell ref="B59:D59"/>
    <mergeCell ref="B62:D62"/>
    <mergeCell ref="B45:D45"/>
    <mergeCell ref="B46:D46"/>
    <mergeCell ref="B47:D47"/>
    <mergeCell ref="B103:C103"/>
    <mergeCell ref="D2:H2"/>
    <mergeCell ref="B134:D134"/>
    <mergeCell ref="B135:D135"/>
    <mergeCell ref="B133:D133"/>
    <mergeCell ref="B104:D104"/>
    <mergeCell ref="B105:D105"/>
    <mergeCell ref="B106:D106"/>
    <mergeCell ref="B96:D96"/>
    <mergeCell ref="B95:D95"/>
    <mergeCell ref="B57:D57"/>
    <mergeCell ref="B94:D94"/>
    <mergeCell ref="B52:C52"/>
    <mergeCell ref="B90:C90"/>
    <mergeCell ref="B53:D53"/>
    <mergeCell ref="B55:D55"/>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O156"/>
  <sheetViews>
    <sheetView showGridLines="0" zoomScale="85" zoomScaleNormal="85" zoomScaleSheetLayoutView="50" workbookViewId="0"/>
  </sheetViews>
  <sheetFormatPr defaultRowHeight="18" customHeight="1" x14ac:dyDescent="0.2"/>
  <cols>
    <col min="1" max="1" width="8.28515625" style="430" customWidth="1"/>
    <col min="2" max="2" width="43.5703125" style="259" customWidth="1"/>
    <col min="3" max="3" width="19.140625" style="259" customWidth="1"/>
    <col min="4" max="4" width="4.42578125" style="259" customWidth="1"/>
    <col min="5" max="5" width="9.140625" style="259" bestFit="1"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3">
      <c r="B5" s="435" t="s">
        <v>40</v>
      </c>
      <c r="C5" s="888" t="s">
        <v>739</v>
      </c>
      <c r="D5" s="889"/>
      <c r="E5" s="889"/>
      <c r="F5" s="889"/>
      <c r="G5" s="890"/>
    </row>
    <row r="6" spans="1:11" ht="18" customHeight="1" x14ac:dyDescent="0.2">
      <c r="B6" s="435" t="s">
        <v>3</v>
      </c>
      <c r="C6" s="439">
        <v>210049</v>
      </c>
      <c r="D6" s="440"/>
      <c r="E6" s="440"/>
      <c r="F6" s="440"/>
      <c r="G6" s="441"/>
    </row>
    <row r="7" spans="1:11" ht="18" customHeight="1" x14ac:dyDescent="0.2">
      <c r="B7" s="435" t="s">
        <v>4</v>
      </c>
      <c r="C7" s="439">
        <v>2156</v>
      </c>
      <c r="D7" s="440"/>
      <c r="E7" s="440"/>
      <c r="F7" s="440"/>
      <c r="G7" s="441"/>
    </row>
    <row r="9" spans="1:11" ht="18" customHeight="1" x14ac:dyDescent="0.2">
      <c r="B9" s="435" t="s">
        <v>1</v>
      </c>
      <c r="C9" s="489" t="s">
        <v>733</v>
      </c>
      <c r="D9" s="437"/>
      <c r="E9" s="437"/>
      <c r="F9" s="437"/>
      <c r="G9" s="438"/>
    </row>
    <row r="10" spans="1:11" ht="18" customHeight="1" x14ac:dyDescent="0.2">
      <c r="B10" s="435" t="s">
        <v>2</v>
      </c>
      <c r="C10" s="490" t="s">
        <v>442</v>
      </c>
      <c r="D10" s="446"/>
      <c r="E10" s="446"/>
      <c r="F10" s="446"/>
      <c r="G10" s="447"/>
    </row>
    <row r="11" spans="1:11" ht="18" customHeight="1" x14ac:dyDescent="0.2">
      <c r="B11" s="435" t="s">
        <v>32</v>
      </c>
      <c r="C11" s="634" t="s">
        <v>583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7594807.4418874867</v>
      </c>
      <c r="I18" s="133">
        <v>0</v>
      </c>
      <c r="J18" s="118">
        <v>6419110.9734700965</v>
      </c>
      <c r="K18" s="118">
        <f>(H18+I18)-J18</f>
        <v>1175696.4684173902</v>
      </c>
    </row>
    <row r="19" spans="1:11" ht="45.2"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4411</v>
      </c>
      <c r="G21" s="221">
        <v>190524</v>
      </c>
      <c r="H21" s="118">
        <v>218514.8</v>
      </c>
      <c r="I21" s="133">
        <f t="shared" ref="I21:I34" si="0">H21*F$114</f>
        <v>130433.59745563175</v>
      </c>
      <c r="J21" s="118">
        <v>13260.8</v>
      </c>
      <c r="K21" s="118">
        <f t="shared" ref="K21:K34" si="1">(H21+I21)-J21</f>
        <v>335687.59745563177</v>
      </c>
    </row>
    <row r="22" spans="1:11" ht="18" customHeight="1" x14ac:dyDescent="0.2">
      <c r="A22" s="435" t="s">
        <v>76</v>
      </c>
      <c r="B22" s="259" t="s">
        <v>6</v>
      </c>
      <c r="F22" s="221">
        <v>560</v>
      </c>
      <c r="G22" s="221">
        <v>2075.5</v>
      </c>
      <c r="H22" s="118">
        <v>32691.399999999998</v>
      </c>
      <c r="I22" s="133">
        <f t="shared" si="0"/>
        <v>19513.812830348514</v>
      </c>
      <c r="J22" s="118">
        <v>0</v>
      </c>
      <c r="K22" s="118">
        <f t="shared" si="1"/>
        <v>52205.212830348508</v>
      </c>
    </row>
    <row r="23" spans="1:11" ht="18" customHeight="1" x14ac:dyDescent="0.2">
      <c r="A23" s="435" t="s">
        <v>77</v>
      </c>
      <c r="B23" s="259" t="s">
        <v>43</v>
      </c>
      <c r="F23" s="221">
        <v>932.4</v>
      </c>
      <c r="G23" s="221">
        <v>1013.5999999999999</v>
      </c>
      <c r="H23" s="118">
        <v>47702.899999999994</v>
      </c>
      <c r="I23" s="133">
        <f t="shared" si="0"/>
        <v>28474.32236199221</v>
      </c>
      <c r="J23" s="118">
        <v>6524.7</v>
      </c>
      <c r="K23" s="118">
        <f t="shared" si="1"/>
        <v>69652.522361992204</v>
      </c>
    </row>
    <row r="24" spans="1:11" ht="18" customHeight="1" x14ac:dyDescent="0.2">
      <c r="A24" s="435" t="s">
        <v>78</v>
      </c>
      <c r="B24" s="259" t="s">
        <v>44</v>
      </c>
      <c r="F24" s="221">
        <v>4775.3999999999996</v>
      </c>
      <c r="G24" s="221">
        <v>1625.3999999999999</v>
      </c>
      <c r="H24" s="118">
        <v>832720</v>
      </c>
      <c r="I24" s="133">
        <f t="shared" si="0"/>
        <v>497058.62153617822</v>
      </c>
      <c r="J24" s="118">
        <v>71173.899999999994</v>
      </c>
      <c r="K24" s="118">
        <f t="shared" si="1"/>
        <v>1258604.7215361784</v>
      </c>
    </row>
    <row r="25" spans="1:11" ht="18" customHeight="1" x14ac:dyDescent="0.2">
      <c r="A25" s="435" t="s">
        <v>79</v>
      </c>
      <c r="B25" s="259" t="s">
        <v>5</v>
      </c>
      <c r="F25" s="221">
        <v>616.69999999999993</v>
      </c>
      <c r="G25" s="221">
        <v>3282.2999999999997</v>
      </c>
      <c r="H25" s="118">
        <v>25565.399999999998</v>
      </c>
      <c r="I25" s="133">
        <f t="shared" si="0"/>
        <v>15260.23451222621</v>
      </c>
      <c r="J25" s="118">
        <v>62.999999999999993</v>
      </c>
      <c r="K25" s="118">
        <f t="shared" si="1"/>
        <v>40762.634512226206</v>
      </c>
    </row>
    <row r="26" spans="1:11" ht="18" customHeight="1" x14ac:dyDescent="0.2">
      <c r="A26" s="435" t="s">
        <v>80</v>
      </c>
      <c r="B26" s="259" t="s">
        <v>45</v>
      </c>
      <c r="F26" s="221">
        <v>0</v>
      </c>
      <c r="G26" s="221">
        <v>0</v>
      </c>
      <c r="H26" s="118">
        <v>0</v>
      </c>
      <c r="I26" s="133">
        <f t="shared" si="0"/>
        <v>0</v>
      </c>
      <c r="J26" s="118">
        <v>0</v>
      </c>
      <c r="K26" s="118">
        <f t="shared" si="1"/>
        <v>0</v>
      </c>
    </row>
    <row r="27" spans="1:11" ht="18" customHeight="1" x14ac:dyDescent="0.2">
      <c r="A27" s="435" t="s">
        <v>81</v>
      </c>
      <c r="B27" s="259" t="s">
        <v>536</v>
      </c>
      <c r="F27" s="221">
        <v>91.699999999999989</v>
      </c>
      <c r="G27" s="221">
        <v>392</v>
      </c>
      <c r="H27" s="118">
        <v>3714.2</v>
      </c>
      <c r="I27" s="133">
        <f t="shared" si="0"/>
        <v>2217.0419013710166</v>
      </c>
      <c r="J27" s="118">
        <v>0</v>
      </c>
      <c r="K27" s="118">
        <f t="shared" si="1"/>
        <v>5931.2419013710169</v>
      </c>
    </row>
    <row r="28" spans="1:11" ht="18" customHeight="1" x14ac:dyDescent="0.2">
      <c r="A28" s="435" t="s">
        <v>82</v>
      </c>
      <c r="B28" s="259" t="s">
        <v>47</v>
      </c>
      <c r="F28" s="221">
        <v>1502.1999999999998</v>
      </c>
      <c r="G28" s="221">
        <v>82.6</v>
      </c>
      <c r="H28" s="118">
        <v>35621.599999999999</v>
      </c>
      <c r="I28" s="133">
        <f t="shared" si="0"/>
        <v>21262.87754937209</v>
      </c>
      <c r="J28" s="118">
        <v>298.2</v>
      </c>
      <c r="K28" s="118">
        <f t="shared" si="1"/>
        <v>56586.277549372091</v>
      </c>
    </row>
    <row r="29" spans="1:11" ht="18" customHeight="1" x14ac:dyDescent="0.2">
      <c r="A29" s="435" t="s">
        <v>83</v>
      </c>
      <c r="B29" s="259" t="s">
        <v>48</v>
      </c>
      <c r="F29" s="221">
        <v>2328.1999999999998</v>
      </c>
      <c r="G29" s="221">
        <v>3479</v>
      </c>
      <c r="H29" s="118">
        <v>297112.19999999995</v>
      </c>
      <c r="I29" s="133">
        <f t="shared" si="0"/>
        <v>177349.14565950292</v>
      </c>
      <c r="J29" s="118">
        <v>0</v>
      </c>
      <c r="K29" s="118">
        <f t="shared" si="1"/>
        <v>474461.3456595029</v>
      </c>
    </row>
    <row r="30" spans="1:11" ht="18" customHeight="1" x14ac:dyDescent="0.2">
      <c r="A30" s="435" t="s">
        <v>84</v>
      </c>
      <c r="B30" s="456"/>
      <c r="C30" s="457"/>
      <c r="D30" s="458"/>
      <c r="F30" s="221">
        <v>0</v>
      </c>
      <c r="G30" s="221">
        <v>0</v>
      </c>
      <c r="H30" s="118">
        <v>0</v>
      </c>
      <c r="I30" s="133">
        <f t="shared" si="0"/>
        <v>0</v>
      </c>
      <c r="J30" s="118">
        <v>0</v>
      </c>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15217.600000000002</v>
      </c>
      <c r="G36" s="221">
        <f t="shared" si="2"/>
        <v>202474.4</v>
      </c>
      <c r="H36" s="221">
        <f t="shared" si="2"/>
        <v>1493642.5</v>
      </c>
      <c r="I36" s="118">
        <f t="shared" si="2"/>
        <v>891569.65380662296</v>
      </c>
      <c r="J36" s="118">
        <f t="shared" si="2"/>
        <v>91320.599999999991</v>
      </c>
      <c r="K36" s="118">
        <f t="shared" si="2"/>
        <v>2293891.553806623</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1025.5</v>
      </c>
      <c r="G40" s="221">
        <v>0</v>
      </c>
      <c r="H40" s="118">
        <v>130573.09999999999</v>
      </c>
      <c r="I40" s="133">
        <f t="shared" ref="I40:I42" si="3">H40*F$114</f>
        <v>77940.346209656956</v>
      </c>
      <c r="J40" s="118">
        <v>0</v>
      </c>
      <c r="K40" s="118">
        <f t="shared" ref="K40:K47" si="4">(H40+I40)-J40</f>
        <v>208513.44620965695</v>
      </c>
    </row>
    <row r="41" spans="1:11" ht="18" customHeight="1" x14ac:dyDescent="0.2">
      <c r="A41" s="435" t="s">
        <v>88</v>
      </c>
      <c r="B41" s="465" t="s">
        <v>50</v>
      </c>
      <c r="C41" s="466"/>
      <c r="F41" s="221">
        <v>2305.1</v>
      </c>
      <c r="G41" s="221">
        <v>0</v>
      </c>
      <c r="H41" s="118">
        <v>93380</v>
      </c>
      <c r="I41" s="133">
        <f t="shared" si="3"/>
        <v>55739.425111740224</v>
      </c>
      <c r="J41" s="118">
        <v>0</v>
      </c>
      <c r="K41" s="118">
        <f t="shared" si="4"/>
        <v>149119.42511174022</v>
      </c>
    </row>
    <row r="42" spans="1:11" ht="18" customHeight="1" x14ac:dyDescent="0.2">
      <c r="A42" s="435" t="s">
        <v>89</v>
      </c>
      <c r="B42" s="419" t="s">
        <v>11</v>
      </c>
      <c r="F42" s="221">
        <v>13358.099999999999</v>
      </c>
      <c r="G42" s="221">
        <v>0</v>
      </c>
      <c r="H42" s="118">
        <v>539488.6</v>
      </c>
      <c r="I42" s="133">
        <f t="shared" si="3"/>
        <v>322025.96292929508</v>
      </c>
      <c r="J42" s="118">
        <v>0</v>
      </c>
      <c r="K42" s="118">
        <f t="shared" si="4"/>
        <v>861514.562929295</v>
      </c>
    </row>
    <row r="43" spans="1:11" ht="18" customHeight="1" x14ac:dyDescent="0.2">
      <c r="A43" s="435" t="s">
        <v>90</v>
      </c>
      <c r="B43" s="467" t="s">
        <v>10</v>
      </c>
      <c r="C43" s="468"/>
      <c r="D43" s="468"/>
      <c r="F43" s="221"/>
      <c r="G43" s="221"/>
      <c r="H43" s="118"/>
      <c r="I43" s="133">
        <v>0</v>
      </c>
      <c r="J43" s="118"/>
      <c r="K43" s="118">
        <f t="shared" si="4"/>
        <v>0</v>
      </c>
    </row>
    <row r="44" spans="1:11" ht="18" customHeight="1" x14ac:dyDescent="0.2">
      <c r="A44" s="435" t="s">
        <v>91</v>
      </c>
      <c r="B44" s="456"/>
      <c r="C44" s="457"/>
      <c r="D44" s="458"/>
      <c r="F44" s="407"/>
      <c r="G44" s="407"/>
      <c r="H44" s="407"/>
      <c r="I44" s="408">
        <v>0</v>
      </c>
      <c r="J44" s="407"/>
      <c r="K44" s="134">
        <f t="shared" si="4"/>
        <v>0</v>
      </c>
    </row>
    <row r="45" spans="1:11" ht="18" customHeight="1" x14ac:dyDescent="0.2">
      <c r="A45" s="435" t="s">
        <v>139</v>
      </c>
      <c r="B45" s="456"/>
      <c r="C45" s="457"/>
      <c r="D45" s="458"/>
      <c r="F45" s="221"/>
      <c r="G45" s="221"/>
      <c r="H45" s="118"/>
      <c r="I45" s="133">
        <v>0</v>
      </c>
      <c r="J45" s="118"/>
      <c r="K45" s="118">
        <f t="shared" si="4"/>
        <v>0</v>
      </c>
    </row>
    <row r="46" spans="1:11" ht="18" customHeight="1" x14ac:dyDescent="0.2">
      <c r="A46" s="435" t="s">
        <v>140</v>
      </c>
      <c r="B46" s="456"/>
      <c r="C46" s="457"/>
      <c r="D46" s="458"/>
      <c r="F46" s="221"/>
      <c r="G46" s="221"/>
      <c r="H46" s="118"/>
      <c r="I46" s="133">
        <v>0</v>
      </c>
      <c r="J46" s="118"/>
      <c r="K46" s="118">
        <f t="shared" si="4"/>
        <v>0</v>
      </c>
    </row>
    <row r="47" spans="1:11" ht="18" customHeight="1" x14ac:dyDescent="0.2">
      <c r="A47" s="435" t="s">
        <v>141</v>
      </c>
      <c r="B47" s="456"/>
      <c r="C47" s="457"/>
      <c r="D47" s="458"/>
      <c r="F47" s="221"/>
      <c r="G47" s="221"/>
      <c r="H47" s="118"/>
      <c r="I47" s="133">
        <v>0</v>
      </c>
      <c r="J47" s="118"/>
      <c r="K47" s="118">
        <f t="shared" si="4"/>
        <v>0</v>
      </c>
    </row>
    <row r="49" spans="1:11" ht="18" customHeight="1" x14ac:dyDescent="0.2">
      <c r="A49" s="455" t="s">
        <v>142</v>
      </c>
      <c r="B49" s="421" t="s">
        <v>143</v>
      </c>
      <c r="E49" s="421" t="s">
        <v>7</v>
      </c>
      <c r="F49" s="409">
        <f t="shared" ref="F49:K49" si="5">SUM(F40:F47)</f>
        <v>16688.699999999997</v>
      </c>
      <c r="G49" s="409">
        <f t="shared" si="5"/>
        <v>0</v>
      </c>
      <c r="H49" s="118">
        <f t="shared" si="5"/>
        <v>763441.7</v>
      </c>
      <c r="I49" s="118">
        <f t="shared" si="5"/>
        <v>455705.7342506923</v>
      </c>
      <c r="J49" s="118">
        <f t="shared" si="5"/>
        <v>0</v>
      </c>
      <c r="K49" s="118">
        <f t="shared" si="5"/>
        <v>1219147.4342506921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27.75" customHeight="1" x14ac:dyDescent="0.2">
      <c r="A52" s="455" t="s">
        <v>92</v>
      </c>
      <c r="B52" s="470" t="s">
        <v>38</v>
      </c>
      <c r="C52" s="471"/>
    </row>
    <row r="53" spans="1:11" ht="18" customHeight="1" x14ac:dyDescent="0.2">
      <c r="A53" s="435" t="s">
        <v>51</v>
      </c>
      <c r="B53" s="891" t="s">
        <v>584</v>
      </c>
      <c r="C53" s="892"/>
      <c r="D53" s="458"/>
      <c r="F53" s="221">
        <v>0</v>
      </c>
      <c r="G53" s="221">
        <v>0</v>
      </c>
      <c r="H53" s="118">
        <v>1366024</v>
      </c>
      <c r="I53" s="133">
        <f t="shared" ref="I53:I54" si="6">H53*F$114</f>
        <v>815392.93691197073</v>
      </c>
      <c r="J53" s="118">
        <v>0</v>
      </c>
      <c r="K53" s="118">
        <f t="shared" ref="K53:K62" si="7">(H53+I53)-J53</f>
        <v>2181416.9369119708</v>
      </c>
    </row>
    <row r="54" spans="1:11" ht="18" customHeight="1" x14ac:dyDescent="0.2">
      <c r="A54" s="435" t="s">
        <v>93</v>
      </c>
      <c r="B54" s="459" t="s">
        <v>520</v>
      </c>
      <c r="C54" s="460"/>
      <c r="D54" s="461"/>
      <c r="F54" s="221"/>
      <c r="G54" s="221"/>
      <c r="H54" s="118">
        <v>1574017</v>
      </c>
      <c r="I54" s="133">
        <f t="shared" si="6"/>
        <v>939545.97018747067</v>
      </c>
      <c r="J54" s="118"/>
      <c r="K54" s="118">
        <f t="shared" si="7"/>
        <v>2513562.9701874708</v>
      </c>
    </row>
    <row r="55" spans="1:11" ht="18" customHeight="1" x14ac:dyDescent="0.2">
      <c r="A55" s="435" t="s">
        <v>94</v>
      </c>
      <c r="B55" s="418"/>
      <c r="C55" s="417"/>
      <c r="D55" s="412"/>
      <c r="F55" s="221"/>
      <c r="G55" s="221"/>
      <c r="H55" s="118"/>
      <c r="I55" s="133">
        <v>0</v>
      </c>
      <c r="J55" s="118"/>
      <c r="K55" s="118">
        <f t="shared" si="7"/>
        <v>0</v>
      </c>
    </row>
    <row r="56" spans="1:11" ht="18" customHeight="1" x14ac:dyDescent="0.2">
      <c r="A56" s="435" t="s">
        <v>95</v>
      </c>
      <c r="B56" s="418"/>
      <c r="C56" s="417"/>
      <c r="D56" s="412"/>
      <c r="F56" s="221"/>
      <c r="G56" s="221"/>
      <c r="H56" s="118"/>
      <c r="I56" s="133">
        <v>0</v>
      </c>
      <c r="J56" s="118"/>
      <c r="K56" s="118">
        <f t="shared" si="7"/>
        <v>0</v>
      </c>
    </row>
    <row r="57" spans="1:11" ht="18" customHeight="1" x14ac:dyDescent="0.2">
      <c r="A57" s="435" t="s">
        <v>96</v>
      </c>
      <c r="B57" s="418"/>
      <c r="C57" s="417"/>
      <c r="D57" s="412"/>
      <c r="F57" s="221"/>
      <c r="G57" s="221"/>
      <c r="H57" s="118"/>
      <c r="I57" s="133">
        <v>0</v>
      </c>
      <c r="J57" s="118"/>
      <c r="K57" s="118">
        <f t="shared" si="7"/>
        <v>0</v>
      </c>
    </row>
    <row r="58" spans="1:11" ht="18" customHeight="1" x14ac:dyDescent="0.2">
      <c r="A58" s="435" t="s">
        <v>97</v>
      </c>
      <c r="B58" s="420"/>
      <c r="C58" s="414"/>
      <c r="D58" s="415"/>
      <c r="F58" s="221"/>
      <c r="G58" s="221"/>
      <c r="H58" s="118"/>
      <c r="I58" s="133">
        <v>0</v>
      </c>
      <c r="J58" s="118"/>
      <c r="K58" s="118">
        <f t="shared" si="7"/>
        <v>0</v>
      </c>
    </row>
    <row r="59" spans="1:11" ht="18" customHeight="1" x14ac:dyDescent="0.2">
      <c r="A59" s="435" t="s">
        <v>98</v>
      </c>
      <c r="B59" s="410" t="s">
        <v>333</v>
      </c>
      <c r="C59" s="411"/>
      <c r="D59" s="412"/>
      <c r="F59" s="221"/>
      <c r="G59" s="221"/>
      <c r="H59" s="118">
        <v>294000</v>
      </c>
      <c r="I59" s="133">
        <f t="shared" ref="I59" si="8">H59*F$114</f>
        <v>175491.44338029157</v>
      </c>
      <c r="J59" s="118"/>
      <c r="K59" s="118">
        <f t="shared" si="7"/>
        <v>469491.44338029157</v>
      </c>
    </row>
    <row r="60" spans="1:11" ht="18" customHeight="1" x14ac:dyDescent="0.2">
      <c r="A60" s="435" t="s">
        <v>99</v>
      </c>
      <c r="B60" s="420"/>
      <c r="C60" s="414"/>
      <c r="D60" s="415"/>
      <c r="F60" s="221"/>
      <c r="G60" s="221"/>
      <c r="H60" s="118"/>
      <c r="I60" s="133">
        <v>0</v>
      </c>
      <c r="J60" s="118"/>
      <c r="K60" s="118">
        <f t="shared" si="7"/>
        <v>0</v>
      </c>
    </row>
    <row r="61" spans="1:11" ht="18" customHeight="1" x14ac:dyDescent="0.2">
      <c r="A61" s="435" t="s">
        <v>100</v>
      </c>
      <c r="B61" s="420"/>
      <c r="C61" s="414"/>
      <c r="D61" s="415"/>
      <c r="F61" s="221"/>
      <c r="G61" s="221"/>
      <c r="H61" s="118"/>
      <c r="I61" s="133">
        <v>0</v>
      </c>
      <c r="J61" s="118"/>
      <c r="K61" s="118">
        <f t="shared" si="7"/>
        <v>0</v>
      </c>
    </row>
    <row r="62" spans="1:11" ht="18" customHeight="1" x14ac:dyDescent="0.2">
      <c r="A62" s="435" t="s">
        <v>101</v>
      </c>
      <c r="B62" s="418"/>
      <c r="C62" s="417"/>
      <c r="D62" s="412"/>
      <c r="F62" s="221"/>
      <c r="G62" s="221"/>
      <c r="H62" s="118"/>
      <c r="I62" s="133">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9">SUM(F53:F62)</f>
        <v>0</v>
      </c>
      <c r="G64" s="221">
        <f t="shared" si="9"/>
        <v>0</v>
      </c>
      <c r="H64" s="118">
        <f t="shared" si="9"/>
        <v>3234041</v>
      </c>
      <c r="I64" s="118">
        <f t="shared" si="9"/>
        <v>1930430.350479733</v>
      </c>
      <c r="J64" s="118">
        <f t="shared" si="9"/>
        <v>0</v>
      </c>
      <c r="K64" s="118">
        <f t="shared" si="9"/>
        <v>5164471.3504797332</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11284</v>
      </c>
      <c r="G68" s="122">
        <v>0</v>
      </c>
      <c r="H68" s="122">
        <v>460947.89999999997</v>
      </c>
      <c r="I68" s="133">
        <f t="shared" ref="I68" si="10">H68*F$114</f>
        <v>275144.25950379012</v>
      </c>
      <c r="J68" s="122">
        <v>0</v>
      </c>
      <c r="K68" s="118">
        <f>(H68+I68)-J68</f>
        <v>736092.15950379008</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1">SUM(F68:F72)</f>
        <v>11284</v>
      </c>
      <c r="G74" s="122">
        <f t="shared" si="11"/>
        <v>0</v>
      </c>
      <c r="H74" s="122">
        <f t="shared" si="11"/>
        <v>460947.89999999997</v>
      </c>
      <c r="I74" s="133">
        <f t="shared" si="11"/>
        <v>275144.25950379012</v>
      </c>
      <c r="J74" s="122">
        <f t="shared" si="11"/>
        <v>0</v>
      </c>
      <c r="K74" s="118">
        <f t="shared" si="11"/>
        <v>736092.15950379008</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5</v>
      </c>
      <c r="G77" s="221">
        <v>70</v>
      </c>
      <c r="H77" s="118">
        <v>8039</v>
      </c>
      <c r="I77" s="133">
        <f t="shared" ref="I77:I79" si="12">H77*F$114</f>
        <v>4798.5568480753873</v>
      </c>
      <c r="J77" s="118">
        <v>0</v>
      </c>
      <c r="K77" s="118">
        <f>(H77+I77)-J77</f>
        <v>12837.556848075386</v>
      </c>
    </row>
    <row r="78" spans="1:11" ht="18" customHeight="1" x14ac:dyDescent="0.2">
      <c r="A78" s="435" t="s">
        <v>108</v>
      </c>
      <c r="B78" s="419" t="s">
        <v>55</v>
      </c>
      <c r="F78" s="221">
        <v>0</v>
      </c>
      <c r="G78" s="221">
        <v>0</v>
      </c>
      <c r="H78" s="118">
        <v>0</v>
      </c>
      <c r="I78" s="133">
        <f t="shared" si="12"/>
        <v>0</v>
      </c>
      <c r="J78" s="118">
        <v>0</v>
      </c>
      <c r="K78" s="118">
        <f>(H78+I78)-J78</f>
        <v>0</v>
      </c>
    </row>
    <row r="79" spans="1:11" ht="18" customHeight="1" x14ac:dyDescent="0.2">
      <c r="A79" s="435" t="s">
        <v>109</v>
      </c>
      <c r="B79" s="419" t="s">
        <v>13</v>
      </c>
      <c r="F79" s="221">
        <v>1273</v>
      </c>
      <c r="G79" s="221">
        <v>1474</v>
      </c>
      <c r="H79" s="118">
        <v>95572</v>
      </c>
      <c r="I79" s="133">
        <f t="shared" si="12"/>
        <v>57047.851111364711</v>
      </c>
      <c r="J79" s="118">
        <v>0</v>
      </c>
      <c r="K79" s="118">
        <f>(H79+I79)-J79</f>
        <v>152619.85111136473</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3">SUM(F77:F80)</f>
        <v>1278</v>
      </c>
      <c r="G82" s="122">
        <f t="shared" si="13"/>
        <v>1544</v>
      </c>
      <c r="H82" s="118">
        <f t="shared" si="13"/>
        <v>103611</v>
      </c>
      <c r="I82" s="118">
        <f t="shared" si="13"/>
        <v>61846.407959440097</v>
      </c>
      <c r="J82" s="118">
        <f t="shared" si="13"/>
        <v>0</v>
      </c>
      <c r="K82" s="118">
        <f t="shared" si="13"/>
        <v>165457.40795944011</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0</v>
      </c>
      <c r="G86" s="221">
        <v>0</v>
      </c>
      <c r="H86" s="118">
        <v>0</v>
      </c>
      <c r="I86" s="133">
        <f t="shared" ref="I86:I96" si="14">H86*F$114</f>
        <v>0</v>
      </c>
      <c r="J86" s="118">
        <v>0</v>
      </c>
      <c r="K86" s="118">
        <f t="shared" ref="K86:K96" si="15">(H86+I86)-J86</f>
        <v>0</v>
      </c>
    </row>
    <row r="87" spans="1:11" ht="18" customHeight="1" x14ac:dyDescent="0.2">
      <c r="A87" s="435" t="s">
        <v>114</v>
      </c>
      <c r="B87" s="419" t="s">
        <v>14</v>
      </c>
      <c r="F87" s="221">
        <v>15</v>
      </c>
      <c r="G87" s="221">
        <v>0</v>
      </c>
      <c r="H87" s="118">
        <v>1750</v>
      </c>
      <c r="I87" s="133">
        <f t="shared" si="14"/>
        <v>1044.5919248826879</v>
      </c>
      <c r="J87" s="118">
        <v>0</v>
      </c>
      <c r="K87" s="118">
        <f t="shared" si="15"/>
        <v>2794.5919248826876</v>
      </c>
    </row>
    <row r="88" spans="1:11" ht="18" customHeight="1" x14ac:dyDescent="0.2">
      <c r="A88" s="435" t="s">
        <v>115</v>
      </c>
      <c r="B88" s="419" t="s">
        <v>116</v>
      </c>
      <c r="F88" s="221">
        <v>25</v>
      </c>
      <c r="G88" s="221">
        <v>0</v>
      </c>
      <c r="H88" s="118">
        <v>1037</v>
      </c>
      <c r="I88" s="133">
        <f t="shared" si="14"/>
        <v>618.9953292019128</v>
      </c>
      <c r="J88" s="118">
        <v>0</v>
      </c>
      <c r="K88" s="118">
        <f t="shared" si="15"/>
        <v>1655.9953292019127</v>
      </c>
    </row>
    <row r="89" spans="1:11" ht="18" customHeight="1" x14ac:dyDescent="0.2">
      <c r="A89" s="435" t="s">
        <v>117</v>
      </c>
      <c r="B89" s="419" t="s">
        <v>58</v>
      </c>
      <c r="F89" s="221">
        <v>0</v>
      </c>
      <c r="G89" s="221">
        <v>0</v>
      </c>
      <c r="H89" s="118">
        <v>0</v>
      </c>
      <c r="I89" s="133">
        <f t="shared" si="14"/>
        <v>0</v>
      </c>
      <c r="J89" s="118">
        <v>0</v>
      </c>
      <c r="K89" s="118">
        <f t="shared" si="15"/>
        <v>0</v>
      </c>
    </row>
    <row r="90" spans="1:11" ht="18" customHeight="1" x14ac:dyDescent="0.2">
      <c r="A90" s="435" t="s">
        <v>118</v>
      </c>
      <c r="B90" s="465" t="s">
        <v>59</v>
      </c>
      <c r="C90" s="466"/>
      <c r="F90" s="221">
        <v>46</v>
      </c>
      <c r="G90" s="221">
        <v>29</v>
      </c>
      <c r="H90" s="118">
        <v>5430</v>
      </c>
      <c r="I90" s="133">
        <f t="shared" si="14"/>
        <v>3241.2195154931401</v>
      </c>
      <c r="J90" s="118">
        <v>0</v>
      </c>
      <c r="K90" s="118">
        <f t="shared" si="15"/>
        <v>8671.2195154931396</v>
      </c>
    </row>
    <row r="91" spans="1:11" ht="18" customHeight="1" x14ac:dyDescent="0.2">
      <c r="A91" s="435" t="s">
        <v>119</v>
      </c>
      <c r="B91" s="419" t="s">
        <v>60</v>
      </c>
      <c r="F91" s="221">
        <v>3238</v>
      </c>
      <c r="G91" s="221">
        <v>432</v>
      </c>
      <c r="H91" s="118">
        <v>129375</v>
      </c>
      <c r="I91" s="133">
        <f t="shared" si="14"/>
        <v>77225.188732398718</v>
      </c>
      <c r="J91" s="118">
        <v>0</v>
      </c>
      <c r="K91" s="118">
        <f t="shared" si="15"/>
        <v>206600.18873239873</v>
      </c>
    </row>
    <row r="92" spans="1:11" ht="18" customHeight="1" x14ac:dyDescent="0.2">
      <c r="A92" s="435" t="s">
        <v>120</v>
      </c>
      <c r="B92" s="419" t="s">
        <v>121</v>
      </c>
      <c r="F92" s="257">
        <v>0</v>
      </c>
      <c r="G92" s="257">
        <v>0</v>
      </c>
      <c r="H92" s="429">
        <v>0</v>
      </c>
      <c r="I92" s="133">
        <f t="shared" si="14"/>
        <v>0</v>
      </c>
      <c r="J92" s="429">
        <v>0</v>
      </c>
      <c r="K92" s="118">
        <f t="shared" si="15"/>
        <v>0</v>
      </c>
    </row>
    <row r="93" spans="1:11" ht="18" customHeight="1" x14ac:dyDescent="0.2">
      <c r="A93" s="435" t="s">
        <v>122</v>
      </c>
      <c r="B93" s="419" t="s">
        <v>123</v>
      </c>
      <c r="F93" s="221">
        <v>28</v>
      </c>
      <c r="G93" s="221">
        <v>0</v>
      </c>
      <c r="H93" s="118">
        <v>1420</v>
      </c>
      <c r="I93" s="133">
        <f t="shared" si="14"/>
        <v>847.61173333338104</v>
      </c>
      <c r="J93" s="118">
        <v>0</v>
      </c>
      <c r="K93" s="118">
        <f t="shared" si="15"/>
        <v>2267.6117333333809</v>
      </c>
    </row>
    <row r="94" spans="1:11" ht="18" customHeight="1" x14ac:dyDescent="0.2">
      <c r="A94" s="435" t="s">
        <v>124</v>
      </c>
      <c r="B94" s="418"/>
      <c r="C94" s="417"/>
      <c r="D94" s="412"/>
      <c r="F94" s="221"/>
      <c r="G94" s="221"/>
      <c r="H94" s="118"/>
      <c r="I94" s="133">
        <f t="shared" si="14"/>
        <v>0</v>
      </c>
      <c r="J94" s="118"/>
      <c r="K94" s="118">
        <f t="shared" si="15"/>
        <v>0</v>
      </c>
    </row>
    <row r="95" spans="1:11" ht="18" customHeight="1" x14ac:dyDescent="0.2">
      <c r="A95" s="435" t="s">
        <v>125</v>
      </c>
      <c r="B95" s="418"/>
      <c r="C95" s="417"/>
      <c r="D95" s="412"/>
      <c r="F95" s="221"/>
      <c r="G95" s="221"/>
      <c r="H95" s="118"/>
      <c r="I95" s="133">
        <f t="shared" si="14"/>
        <v>0</v>
      </c>
      <c r="J95" s="118"/>
      <c r="K95" s="118">
        <f t="shared" si="15"/>
        <v>0</v>
      </c>
    </row>
    <row r="96" spans="1:11" ht="18" customHeight="1" x14ac:dyDescent="0.2">
      <c r="A96" s="435" t="s">
        <v>126</v>
      </c>
      <c r="B96" s="418"/>
      <c r="C96" s="417"/>
      <c r="D96" s="412"/>
      <c r="F96" s="221"/>
      <c r="G96" s="221"/>
      <c r="H96" s="118"/>
      <c r="I96" s="133">
        <f t="shared" si="14"/>
        <v>0</v>
      </c>
      <c r="J96" s="118"/>
      <c r="K96" s="118">
        <f t="shared" si="15"/>
        <v>0</v>
      </c>
    </row>
    <row r="97" spans="1:11" ht="18" customHeight="1" x14ac:dyDescent="0.2">
      <c r="A97" s="435"/>
      <c r="B97" s="419"/>
    </row>
    <row r="98" spans="1:11" ht="18" customHeight="1" x14ac:dyDescent="0.2">
      <c r="A98" s="455" t="s">
        <v>150</v>
      </c>
      <c r="B98" s="421" t="s">
        <v>151</v>
      </c>
      <c r="E98" s="421" t="s">
        <v>7</v>
      </c>
      <c r="F98" s="221">
        <f t="shared" ref="F98:K98" si="16">SUM(F86:F96)</f>
        <v>3352</v>
      </c>
      <c r="G98" s="221">
        <f t="shared" si="16"/>
        <v>461</v>
      </c>
      <c r="H98" s="221">
        <f t="shared" si="16"/>
        <v>139012</v>
      </c>
      <c r="I98" s="221">
        <f t="shared" si="16"/>
        <v>82977.607235309843</v>
      </c>
      <c r="J98" s="221">
        <f t="shared" si="16"/>
        <v>0</v>
      </c>
      <c r="K98" s="221">
        <f t="shared" si="16"/>
        <v>221989.60723530984</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2183</v>
      </c>
      <c r="G102" s="221">
        <v>0</v>
      </c>
      <c r="H102" s="118">
        <v>81150</v>
      </c>
      <c r="I102" s="133">
        <f>H102*F$114</f>
        <v>48439.219830988644</v>
      </c>
      <c r="J102" s="118">
        <v>0</v>
      </c>
      <c r="K102" s="118">
        <f>(H102+I102)-J102</f>
        <v>129589.21983098864</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7">SUM(F102:F106)</f>
        <v>2183</v>
      </c>
      <c r="G108" s="221">
        <f t="shared" si="17"/>
        <v>0</v>
      </c>
      <c r="H108" s="118">
        <f t="shared" si="17"/>
        <v>81150</v>
      </c>
      <c r="I108" s="118">
        <f t="shared" si="17"/>
        <v>48439.219830988644</v>
      </c>
      <c r="J108" s="118">
        <f t="shared" si="17"/>
        <v>0</v>
      </c>
      <c r="K108" s="118">
        <f t="shared" si="17"/>
        <v>129589.21983098864</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f>4313000</f>
        <v>4313000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500">
        <v>0.59690967136153594</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f>294409700</f>
        <v>294409700</v>
      </c>
    </row>
    <row r="118" spans="1:6" ht="18" customHeight="1" x14ac:dyDescent="0.2">
      <c r="A118" s="435" t="s">
        <v>173</v>
      </c>
      <c r="B118" s="259" t="s">
        <v>18</v>
      </c>
      <c r="F118" s="118">
        <f>3980000</f>
        <v>3980000</v>
      </c>
    </row>
    <row r="119" spans="1:6" ht="18" customHeight="1" x14ac:dyDescent="0.2">
      <c r="A119" s="435" t="s">
        <v>174</v>
      </c>
      <c r="B119" s="421" t="s">
        <v>19</v>
      </c>
      <c r="F119" s="118">
        <f>SUM(F117:F118)</f>
        <v>298389700</v>
      </c>
    </row>
    <row r="120" spans="1:6" ht="18" customHeight="1" x14ac:dyDescent="0.2">
      <c r="A120" s="435"/>
      <c r="B120" s="421"/>
    </row>
    <row r="121" spans="1:6" ht="18" customHeight="1" x14ac:dyDescent="0.2">
      <c r="A121" s="435" t="s">
        <v>167</v>
      </c>
      <c r="B121" s="421" t="s">
        <v>36</v>
      </c>
      <c r="F121" s="118">
        <f>262553000</f>
        <v>262553000</v>
      </c>
    </row>
    <row r="122" spans="1:6" ht="18" customHeight="1" x14ac:dyDescent="0.2">
      <c r="A122" s="435"/>
    </row>
    <row r="123" spans="1:6" ht="18" customHeight="1" x14ac:dyDescent="0.2">
      <c r="A123" s="435" t="s">
        <v>175</v>
      </c>
      <c r="B123" s="421" t="s">
        <v>20</v>
      </c>
      <c r="F123" s="118">
        <v>35836700</v>
      </c>
    </row>
    <row r="124" spans="1:6" ht="18" customHeight="1" x14ac:dyDescent="0.2">
      <c r="A124" s="435"/>
    </row>
    <row r="125" spans="1:6" ht="18" customHeight="1" x14ac:dyDescent="0.2">
      <c r="A125" s="435" t="s">
        <v>176</v>
      </c>
      <c r="B125" s="421" t="s">
        <v>21</v>
      </c>
      <c r="F125" s="118">
        <f>6479000-2702000</f>
        <v>3777000</v>
      </c>
    </row>
    <row r="126" spans="1:6" ht="18" customHeight="1" x14ac:dyDescent="0.2">
      <c r="A126" s="435"/>
    </row>
    <row r="127" spans="1:6" ht="18" customHeight="1" x14ac:dyDescent="0.2">
      <c r="A127" s="435" t="s">
        <v>177</v>
      </c>
      <c r="B127" s="421" t="s">
        <v>22</v>
      </c>
      <c r="F127" s="118">
        <v>39613700</v>
      </c>
    </row>
    <row r="128" spans="1:6" ht="18" customHeight="1" x14ac:dyDescent="0.2">
      <c r="A128" s="435"/>
    </row>
    <row r="129" spans="1:15" ht="42.75" customHeight="1" x14ac:dyDescent="0.2">
      <c r="F129" s="454" t="s">
        <v>9</v>
      </c>
      <c r="G129" s="454" t="s">
        <v>37</v>
      </c>
      <c r="H129" s="454" t="s">
        <v>29</v>
      </c>
      <c r="I129" s="454" t="s">
        <v>30</v>
      </c>
      <c r="J129" s="454" t="s">
        <v>33</v>
      </c>
      <c r="K129" s="454" t="s">
        <v>34</v>
      </c>
    </row>
    <row r="130" spans="1:15" ht="18" customHeight="1" x14ac:dyDescent="0.2">
      <c r="A130" s="455" t="s">
        <v>157</v>
      </c>
      <c r="B130" s="421" t="s">
        <v>23</v>
      </c>
    </row>
    <row r="131" spans="1:15" ht="18" customHeight="1" x14ac:dyDescent="0.2">
      <c r="A131" s="435" t="s">
        <v>158</v>
      </c>
      <c r="B131" s="259" t="s">
        <v>24</v>
      </c>
      <c r="F131" s="221">
        <v>343</v>
      </c>
      <c r="G131" s="221">
        <v>3556</v>
      </c>
      <c r="H131" s="118">
        <v>12722</v>
      </c>
      <c r="I131" s="133">
        <f t="shared" ref="I131" si="18">H131*F$114</f>
        <v>7593.8848390614603</v>
      </c>
      <c r="J131" s="118">
        <v>0</v>
      </c>
      <c r="K131" s="118">
        <f>(H131+I131)-J131</f>
        <v>20315.884839061458</v>
      </c>
      <c r="O131" s="419">
        <v>343</v>
      </c>
    </row>
    <row r="132" spans="1:15" ht="18" customHeight="1" x14ac:dyDescent="0.2">
      <c r="A132" s="435" t="s">
        <v>159</v>
      </c>
      <c r="B132" s="259" t="s">
        <v>25</v>
      </c>
      <c r="F132" s="221"/>
      <c r="G132" s="221"/>
      <c r="H132" s="118"/>
      <c r="I132" s="133">
        <v>0</v>
      </c>
      <c r="J132" s="118"/>
      <c r="K132" s="118">
        <f>(H132+I132)-J132</f>
        <v>0</v>
      </c>
    </row>
    <row r="133" spans="1:15" ht="18" customHeight="1" x14ac:dyDescent="0.2">
      <c r="A133" s="435" t="s">
        <v>160</v>
      </c>
      <c r="B133" s="456"/>
      <c r="C133" s="457"/>
      <c r="D133" s="458"/>
      <c r="F133" s="221"/>
      <c r="G133" s="221"/>
      <c r="H133" s="118"/>
      <c r="I133" s="133">
        <v>0</v>
      </c>
      <c r="J133" s="118"/>
      <c r="K133" s="118">
        <f>(H133+I133)-J133</f>
        <v>0</v>
      </c>
    </row>
    <row r="134" spans="1:15" ht="18" customHeight="1" x14ac:dyDescent="0.2">
      <c r="A134" s="435" t="s">
        <v>161</v>
      </c>
      <c r="B134" s="456"/>
      <c r="C134" s="457"/>
      <c r="D134" s="458"/>
      <c r="F134" s="221"/>
      <c r="G134" s="221"/>
      <c r="H134" s="118"/>
      <c r="I134" s="133">
        <v>0</v>
      </c>
      <c r="J134" s="118"/>
      <c r="K134" s="118">
        <f>(H134+I134)-J134</f>
        <v>0</v>
      </c>
    </row>
    <row r="135" spans="1:15" ht="18" customHeight="1" x14ac:dyDescent="0.2">
      <c r="A135" s="435" t="s">
        <v>162</v>
      </c>
      <c r="B135" s="456"/>
      <c r="C135" s="457"/>
      <c r="D135" s="458"/>
      <c r="F135" s="221"/>
      <c r="G135" s="221"/>
      <c r="H135" s="118"/>
      <c r="I135" s="133">
        <v>0</v>
      </c>
      <c r="J135" s="118"/>
      <c r="K135" s="118">
        <f>(H135+I135)-J135</f>
        <v>0</v>
      </c>
    </row>
    <row r="136" spans="1:15" ht="18" customHeight="1" x14ac:dyDescent="0.2">
      <c r="A136" s="455"/>
    </row>
    <row r="137" spans="1:15" ht="18" customHeight="1" x14ac:dyDescent="0.2">
      <c r="A137" s="455" t="s">
        <v>163</v>
      </c>
      <c r="B137" s="421" t="s">
        <v>27</v>
      </c>
      <c r="F137" s="221">
        <f t="shared" ref="F137:K137" si="19">SUM(F131:F135)</f>
        <v>343</v>
      </c>
      <c r="G137" s="221">
        <f t="shared" si="19"/>
        <v>3556</v>
      </c>
      <c r="H137" s="118">
        <f t="shared" si="19"/>
        <v>12722</v>
      </c>
      <c r="I137" s="118">
        <f t="shared" si="19"/>
        <v>7593.8848390614603</v>
      </c>
      <c r="J137" s="118">
        <f t="shared" si="19"/>
        <v>0</v>
      </c>
      <c r="K137" s="118">
        <f t="shared" si="19"/>
        <v>20315.884839061458</v>
      </c>
    </row>
    <row r="138" spans="1:15" ht="18" customHeight="1" x14ac:dyDescent="0.2">
      <c r="A138" s="259"/>
    </row>
    <row r="139" spans="1:15" ht="42.75" customHeight="1" x14ac:dyDescent="0.2">
      <c r="F139" s="454" t="s">
        <v>9</v>
      </c>
      <c r="G139" s="454" t="s">
        <v>37</v>
      </c>
      <c r="H139" s="454" t="s">
        <v>29</v>
      </c>
      <c r="I139" s="454" t="s">
        <v>30</v>
      </c>
      <c r="J139" s="454" t="s">
        <v>33</v>
      </c>
      <c r="K139" s="454" t="s">
        <v>34</v>
      </c>
    </row>
    <row r="140" spans="1:15" ht="18" customHeight="1" x14ac:dyDescent="0.2">
      <c r="A140" s="455" t="s">
        <v>166</v>
      </c>
      <c r="B140" s="421" t="s">
        <v>26</v>
      </c>
    </row>
    <row r="141" spans="1:15" ht="18" customHeight="1" x14ac:dyDescent="0.2">
      <c r="A141" s="435" t="s">
        <v>137</v>
      </c>
      <c r="B141" s="421" t="s">
        <v>64</v>
      </c>
      <c r="F141" s="422">
        <f t="shared" ref="F141:K141" si="20">F36</f>
        <v>15217.600000000002</v>
      </c>
      <c r="G141" s="422">
        <f t="shared" si="20"/>
        <v>202474.4</v>
      </c>
      <c r="H141" s="422">
        <f t="shared" si="20"/>
        <v>1493642.5</v>
      </c>
      <c r="I141" s="422">
        <f t="shared" si="20"/>
        <v>891569.65380662296</v>
      </c>
      <c r="J141" s="422">
        <f t="shared" si="20"/>
        <v>91320.599999999991</v>
      </c>
      <c r="K141" s="422">
        <f t="shared" si="20"/>
        <v>2293891.553806623</v>
      </c>
    </row>
    <row r="142" spans="1:15" ht="18" customHeight="1" x14ac:dyDescent="0.2">
      <c r="A142" s="435" t="s">
        <v>142</v>
      </c>
      <c r="B142" s="421" t="s">
        <v>65</v>
      </c>
      <c r="F142" s="422">
        <f t="shared" ref="F142:K142" si="21">F49</f>
        <v>16688.699999999997</v>
      </c>
      <c r="G142" s="422">
        <f t="shared" si="21"/>
        <v>0</v>
      </c>
      <c r="H142" s="422">
        <f t="shared" si="21"/>
        <v>763441.7</v>
      </c>
      <c r="I142" s="422">
        <f t="shared" si="21"/>
        <v>455705.7342506923</v>
      </c>
      <c r="J142" s="422">
        <f t="shared" si="21"/>
        <v>0</v>
      </c>
      <c r="K142" s="422">
        <f t="shared" si="21"/>
        <v>1219147.4342506921</v>
      </c>
    </row>
    <row r="143" spans="1:15" ht="18" customHeight="1" x14ac:dyDescent="0.2">
      <c r="A143" s="435" t="s">
        <v>144</v>
      </c>
      <c r="B143" s="421" t="s">
        <v>66</v>
      </c>
      <c r="F143" s="422">
        <f t="shared" ref="F143:K143" si="22">F64</f>
        <v>0</v>
      </c>
      <c r="G143" s="422">
        <f t="shared" si="22"/>
        <v>0</v>
      </c>
      <c r="H143" s="422">
        <f t="shared" si="22"/>
        <v>3234041</v>
      </c>
      <c r="I143" s="422">
        <f t="shared" si="22"/>
        <v>1930430.350479733</v>
      </c>
      <c r="J143" s="422">
        <f t="shared" si="22"/>
        <v>0</v>
      </c>
      <c r="K143" s="422">
        <f t="shared" si="22"/>
        <v>5164471.3504797332</v>
      </c>
    </row>
    <row r="144" spans="1:15" ht="18" customHeight="1" x14ac:dyDescent="0.2">
      <c r="A144" s="435" t="s">
        <v>146</v>
      </c>
      <c r="B144" s="421" t="s">
        <v>67</v>
      </c>
      <c r="F144" s="422">
        <f t="shared" ref="F144:K144" si="23">F74</f>
        <v>11284</v>
      </c>
      <c r="G144" s="422">
        <f t="shared" si="23"/>
        <v>0</v>
      </c>
      <c r="H144" s="422">
        <f t="shared" si="23"/>
        <v>460947.89999999997</v>
      </c>
      <c r="I144" s="422">
        <f t="shared" si="23"/>
        <v>275144.25950379012</v>
      </c>
      <c r="J144" s="422">
        <f t="shared" si="23"/>
        <v>0</v>
      </c>
      <c r="K144" s="422">
        <f t="shared" si="23"/>
        <v>736092.15950379008</v>
      </c>
    </row>
    <row r="145" spans="1:11" ht="18" customHeight="1" x14ac:dyDescent="0.2">
      <c r="A145" s="435" t="s">
        <v>148</v>
      </c>
      <c r="B145" s="421" t="s">
        <v>68</v>
      </c>
      <c r="F145" s="422">
        <f t="shared" ref="F145:K145" si="24">F82</f>
        <v>1278</v>
      </c>
      <c r="G145" s="422">
        <f t="shared" si="24"/>
        <v>1544</v>
      </c>
      <c r="H145" s="422">
        <f t="shared" si="24"/>
        <v>103611</v>
      </c>
      <c r="I145" s="422">
        <f t="shared" si="24"/>
        <v>61846.407959440097</v>
      </c>
      <c r="J145" s="422">
        <f t="shared" si="24"/>
        <v>0</v>
      </c>
      <c r="K145" s="422">
        <f t="shared" si="24"/>
        <v>165457.40795944011</v>
      </c>
    </row>
    <row r="146" spans="1:11" ht="18" customHeight="1" x14ac:dyDescent="0.2">
      <c r="A146" s="435" t="s">
        <v>150</v>
      </c>
      <c r="B146" s="421" t="s">
        <v>69</v>
      </c>
      <c r="F146" s="422">
        <f t="shared" ref="F146:K146" si="25">F98</f>
        <v>3352</v>
      </c>
      <c r="G146" s="422">
        <f t="shared" si="25"/>
        <v>461</v>
      </c>
      <c r="H146" s="422">
        <f t="shared" si="25"/>
        <v>139012</v>
      </c>
      <c r="I146" s="422">
        <f t="shared" si="25"/>
        <v>82977.607235309843</v>
      </c>
      <c r="J146" s="422">
        <f t="shared" si="25"/>
        <v>0</v>
      </c>
      <c r="K146" s="422">
        <f t="shared" si="25"/>
        <v>221989.60723530984</v>
      </c>
    </row>
    <row r="147" spans="1:11" ht="18" customHeight="1" x14ac:dyDescent="0.2">
      <c r="A147" s="435" t="s">
        <v>153</v>
      </c>
      <c r="B147" s="421" t="s">
        <v>61</v>
      </c>
      <c r="F147" s="221">
        <f t="shared" ref="F147:K147" si="26">F108</f>
        <v>2183</v>
      </c>
      <c r="G147" s="221">
        <f t="shared" si="26"/>
        <v>0</v>
      </c>
      <c r="H147" s="221">
        <f t="shared" si="26"/>
        <v>81150</v>
      </c>
      <c r="I147" s="221">
        <f t="shared" si="26"/>
        <v>48439.219830988644</v>
      </c>
      <c r="J147" s="221">
        <f t="shared" si="26"/>
        <v>0</v>
      </c>
      <c r="K147" s="221">
        <f t="shared" si="26"/>
        <v>129589.21983098864</v>
      </c>
    </row>
    <row r="148" spans="1:11" ht="18" customHeight="1" x14ac:dyDescent="0.2">
      <c r="A148" s="435" t="s">
        <v>155</v>
      </c>
      <c r="B148" s="421" t="s">
        <v>70</v>
      </c>
      <c r="F148" s="485" t="s">
        <v>73</v>
      </c>
      <c r="G148" s="485" t="s">
        <v>73</v>
      </c>
      <c r="H148" s="486" t="s">
        <v>73</v>
      </c>
      <c r="I148" s="486" t="s">
        <v>73</v>
      </c>
      <c r="J148" s="486" t="s">
        <v>73</v>
      </c>
      <c r="K148" s="423">
        <f>F111</f>
        <v>4313000</v>
      </c>
    </row>
    <row r="149" spans="1:11" ht="18" customHeight="1" x14ac:dyDescent="0.2">
      <c r="A149" s="435" t="s">
        <v>163</v>
      </c>
      <c r="B149" s="421" t="s">
        <v>71</v>
      </c>
      <c r="F149" s="221">
        <f t="shared" ref="F149:K149" si="27">F137</f>
        <v>343</v>
      </c>
      <c r="G149" s="221">
        <f t="shared" si="27"/>
        <v>3556</v>
      </c>
      <c r="H149" s="221">
        <f t="shared" si="27"/>
        <v>12722</v>
      </c>
      <c r="I149" s="221">
        <f t="shared" si="27"/>
        <v>7593.8848390614603</v>
      </c>
      <c r="J149" s="221">
        <f t="shared" si="27"/>
        <v>0</v>
      </c>
      <c r="K149" s="221">
        <f t="shared" si="27"/>
        <v>20315.884839061458</v>
      </c>
    </row>
    <row r="150" spans="1:11" ht="18" customHeight="1" x14ac:dyDescent="0.2">
      <c r="A150" s="435" t="s">
        <v>185</v>
      </c>
      <c r="B150" s="421" t="s">
        <v>186</v>
      </c>
      <c r="F150" s="485" t="s">
        <v>73</v>
      </c>
      <c r="G150" s="485" t="s">
        <v>73</v>
      </c>
      <c r="H150" s="221">
        <f>H18</f>
        <v>7594807.4418874867</v>
      </c>
      <c r="I150" s="221">
        <f>I18</f>
        <v>0</v>
      </c>
      <c r="J150" s="221">
        <f>J18</f>
        <v>6419110.9734700965</v>
      </c>
      <c r="K150" s="221">
        <f>K18</f>
        <v>1175696.4684173902</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8">SUM(F141:F150)</f>
        <v>50346.3</v>
      </c>
      <c r="G152" s="487">
        <f t="shared" si="28"/>
        <v>208035.4</v>
      </c>
      <c r="H152" s="487">
        <f t="shared" si="28"/>
        <v>13883375.541887488</v>
      </c>
      <c r="I152" s="487">
        <f t="shared" si="28"/>
        <v>3753707.1179056382</v>
      </c>
      <c r="J152" s="487">
        <f t="shared" si="28"/>
        <v>6510431.5734700961</v>
      </c>
      <c r="K152" s="487">
        <f t="shared" si="28"/>
        <v>15439651.08632303</v>
      </c>
    </row>
    <row r="154" spans="1:11" ht="18" customHeight="1" x14ac:dyDescent="0.2">
      <c r="A154" s="455" t="s">
        <v>168</v>
      </c>
      <c r="B154" s="421" t="s">
        <v>28</v>
      </c>
      <c r="F154" s="140">
        <f>K152/F121</f>
        <v>5.8805845243905155E-2</v>
      </c>
    </row>
    <row r="155" spans="1:11" ht="18" customHeight="1" x14ac:dyDescent="0.2">
      <c r="A155" s="455" t="s">
        <v>169</v>
      </c>
      <c r="B155" s="421" t="s">
        <v>72</v>
      </c>
      <c r="F155" s="140">
        <f>K152/F127</f>
        <v>0.38975533934782741</v>
      </c>
      <c r="G155" s="421"/>
    </row>
    <row r="156" spans="1:11" ht="18" customHeight="1" x14ac:dyDescent="0.2">
      <c r="G156" s="421"/>
    </row>
  </sheetData>
  <sheetProtection algorithmName="SHA-512" hashValue="6vqsjM4OK1hYOZvWubSexbDxJSfio3UNjzatb8dVOshkgJY400cyPJIkKiXm8qKkSLpvRvQEx2NdMk7wF29VlQ==" saltValue="wsbAN0zekyh7s/qZDMYc1g=="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53:D53"/>
    <mergeCell ref="B55:D55"/>
    <mergeCell ref="B56:D56"/>
    <mergeCell ref="B134:D134"/>
    <mergeCell ref="B103:C103"/>
    <mergeCell ref="B96:D96"/>
    <mergeCell ref="B95:D95"/>
    <mergeCell ref="B57:D57"/>
    <mergeCell ref="B94:D94"/>
    <mergeCell ref="B90:C90"/>
    <mergeCell ref="B59:D59"/>
    <mergeCell ref="B62:D62"/>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K156"/>
  <sheetViews>
    <sheetView showGridLines="0" zoomScale="85" zoomScaleNormal="85" zoomScaleSheetLayoutView="10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7.285156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20.285156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585</v>
      </c>
      <c r="D5" s="437"/>
      <c r="E5" s="437"/>
      <c r="F5" s="437"/>
      <c r="G5" s="438"/>
    </row>
    <row r="6" spans="1:11" ht="18" customHeight="1" x14ac:dyDescent="0.2">
      <c r="B6" s="435" t="s">
        <v>3</v>
      </c>
      <c r="C6" s="439" t="s">
        <v>280</v>
      </c>
      <c r="D6" s="440"/>
      <c r="E6" s="440"/>
      <c r="F6" s="440"/>
      <c r="G6" s="441"/>
    </row>
    <row r="7" spans="1:11" ht="18" customHeight="1" x14ac:dyDescent="0.2">
      <c r="B7" s="435" t="s">
        <v>4</v>
      </c>
      <c r="C7" s="398">
        <v>1604</v>
      </c>
      <c r="D7" s="399"/>
      <c r="E7" s="399"/>
      <c r="F7" s="399"/>
      <c r="G7" s="400"/>
    </row>
    <row r="9" spans="1:11" ht="18" customHeight="1" x14ac:dyDescent="0.2">
      <c r="B9" s="435" t="s">
        <v>1</v>
      </c>
      <c r="C9" s="436" t="s">
        <v>586</v>
      </c>
      <c r="D9" s="437"/>
      <c r="E9" s="437"/>
      <c r="F9" s="437"/>
      <c r="G9" s="438"/>
    </row>
    <row r="10" spans="1:11" ht="18" customHeight="1" x14ac:dyDescent="0.2">
      <c r="B10" s="435" t="s">
        <v>2</v>
      </c>
      <c r="C10" s="445" t="s">
        <v>281</v>
      </c>
      <c r="D10" s="446"/>
      <c r="E10" s="446"/>
      <c r="F10" s="446"/>
      <c r="G10" s="447"/>
    </row>
    <row r="11" spans="1:11" ht="18" customHeight="1" x14ac:dyDescent="0.2">
      <c r="B11" s="435" t="s">
        <v>32</v>
      </c>
      <c r="C11" s="495" t="s">
        <v>633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5086765</v>
      </c>
      <c r="I18" s="133">
        <v>0</v>
      </c>
      <c r="J18" s="118">
        <v>4299320</v>
      </c>
      <c r="K18" s="118">
        <f>(H18+I18)-J18</f>
        <v>787445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1702</v>
      </c>
      <c r="G21" s="221">
        <v>16977</v>
      </c>
      <c r="H21" s="118">
        <v>53280</v>
      </c>
      <c r="I21" s="133">
        <f t="shared" ref="I21:I34" si="0">H21*F$114</f>
        <v>32809.824000000001</v>
      </c>
      <c r="J21" s="118"/>
      <c r="K21" s="118">
        <f t="shared" ref="K21:K34" si="1">(H21+I21)-J21</f>
        <v>86089.823999999993</v>
      </c>
    </row>
    <row r="22" spans="1:11" ht="18" customHeight="1" x14ac:dyDescent="0.2">
      <c r="A22" s="435" t="s">
        <v>76</v>
      </c>
      <c r="B22" s="259" t="s">
        <v>6</v>
      </c>
      <c r="F22" s="221">
        <v>409</v>
      </c>
      <c r="G22" s="221">
        <v>1591</v>
      </c>
      <c r="H22" s="118">
        <v>40915</v>
      </c>
      <c r="I22" s="133">
        <f t="shared" si="0"/>
        <v>25195.457000000002</v>
      </c>
      <c r="J22" s="118"/>
      <c r="K22" s="118">
        <f t="shared" si="1"/>
        <v>66110.456999999995</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v>7487</v>
      </c>
      <c r="G24" s="221">
        <v>6430</v>
      </c>
      <c r="H24" s="118">
        <v>1270267</v>
      </c>
      <c r="I24" s="133">
        <f t="shared" si="0"/>
        <v>782230.41859999998</v>
      </c>
      <c r="J24" s="118">
        <v>692613</v>
      </c>
      <c r="K24" s="118">
        <f t="shared" si="1"/>
        <v>1359884.4186</v>
      </c>
    </row>
    <row r="25" spans="1:11" ht="18" customHeight="1" x14ac:dyDescent="0.2">
      <c r="A25" s="435" t="s">
        <v>79</v>
      </c>
      <c r="B25" s="259" t="s">
        <v>5</v>
      </c>
      <c r="F25" s="221">
        <v>425</v>
      </c>
      <c r="G25" s="221">
        <v>10941</v>
      </c>
      <c r="H25" s="118">
        <v>32488</v>
      </c>
      <c r="I25" s="133">
        <f t="shared" si="0"/>
        <v>20006.110400000001</v>
      </c>
      <c r="J25" s="118"/>
      <c r="K25" s="118">
        <f t="shared" si="1"/>
        <v>52494.110400000005</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v>4160</v>
      </c>
      <c r="G28" s="221">
        <v>2361</v>
      </c>
      <c r="H28" s="118">
        <v>259359</v>
      </c>
      <c r="I28" s="133">
        <f t="shared" si="0"/>
        <v>159713.27220000001</v>
      </c>
      <c r="J28" s="118">
        <v>259359</v>
      </c>
      <c r="K28" s="118">
        <f t="shared" si="1"/>
        <v>159713.27220000001</v>
      </c>
    </row>
    <row r="29" spans="1:11" ht="18" customHeight="1" x14ac:dyDescent="0.2">
      <c r="A29" s="435" t="s">
        <v>83</v>
      </c>
      <c r="B29" s="259" t="s">
        <v>48</v>
      </c>
      <c r="F29" s="221"/>
      <c r="G29" s="221"/>
      <c r="H29" s="118"/>
      <c r="I29" s="133">
        <f t="shared" si="0"/>
        <v>0</v>
      </c>
      <c r="J29" s="118"/>
      <c r="K29" s="118">
        <f t="shared" si="1"/>
        <v>0</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14183</v>
      </c>
      <c r="G36" s="221">
        <f t="shared" si="2"/>
        <v>38300</v>
      </c>
      <c r="H36" s="221">
        <f t="shared" si="2"/>
        <v>1656309</v>
      </c>
      <c r="I36" s="118">
        <f t="shared" si="2"/>
        <v>1019955.0821999999</v>
      </c>
      <c r="J36" s="118">
        <f t="shared" si="2"/>
        <v>951972</v>
      </c>
      <c r="K36" s="118">
        <f t="shared" si="2"/>
        <v>1724292.0822000001</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8959</v>
      </c>
      <c r="G41" s="221">
        <v>223</v>
      </c>
      <c r="H41" s="118">
        <v>403155</v>
      </c>
      <c r="I41" s="133">
        <v>0</v>
      </c>
      <c r="J41" s="118"/>
      <c r="K41" s="118">
        <f t="shared" si="3"/>
        <v>403155</v>
      </c>
    </row>
    <row r="42" spans="1:11" ht="18" customHeight="1" x14ac:dyDescent="0.2">
      <c r="A42" s="435" t="s">
        <v>89</v>
      </c>
      <c r="B42" s="419" t="s">
        <v>11</v>
      </c>
      <c r="F42" s="221">
        <v>14334</v>
      </c>
      <c r="G42" s="221">
        <v>1129</v>
      </c>
      <c r="H42" s="118">
        <v>634708</v>
      </c>
      <c r="I42" s="133">
        <v>0</v>
      </c>
      <c r="J42" s="118"/>
      <c r="K42" s="118">
        <f t="shared" si="3"/>
        <v>634708</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23293</v>
      </c>
      <c r="G49" s="409">
        <f t="shared" si="4"/>
        <v>1352</v>
      </c>
      <c r="H49" s="118">
        <f t="shared" si="4"/>
        <v>1037863</v>
      </c>
      <c r="I49" s="118">
        <f t="shared" si="4"/>
        <v>0</v>
      </c>
      <c r="J49" s="118">
        <f t="shared" si="4"/>
        <v>0</v>
      </c>
      <c r="K49" s="118">
        <f t="shared" si="4"/>
        <v>1037863</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c r="C53" s="411"/>
      <c r="D53" s="412"/>
      <c r="F53" s="221"/>
      <c r="G53" s="221"/>
      <c r="H53" s="118"/>
      <c r="I53" s="133">
        <v>0</v>
      </c>
      <c r="J53" s="118"/>
      <c r="K53" s="118">
        <f t="shared" ref="K53:K62" si="5">(H53+I53)-J53</f>
        <v>0</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c r="C55" s="417"/>
      <c r="D55" s="412"/>
      <c r="F55" s="221"/>
      <c r="G55" s="221"/>
      <c r="H55" s="118"/>
      <c r="I55" s="133">
        <v>0</v>
      </c>
      <c r="J55" s="118"/>
      <c r="K55" s="118">
        <f t="shared" si="5"/>
        <v>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J64" si="6">SUM(F53:F62)</f>
        <v>0</v>
      </c>
      <c r="G64" s="221">
        <f t="shared" si="6"/>
        <v>0</v>
      </c>
      <c r="H64" s="118">
        <f t="shared" si="6"/>
        <v>0</v>
      </c>
      <c r="I64" s="118">
        <f t="shared" si="6"/>
        <v>0</v>
      </c>
      <c r="J64" s="118">
        <f t="shared" si="6"/>
        <v>0</v>
      </c>
      <c r="K64" s="118">
        <v>0</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323028</v>
      </c>
      <c r="I77" s="133">
        <v>0</v>
      </c>
      <c r="J77" s="118"/>
      <c r="K77" s="118">
        <f>(H77+I77)-J77</f>
        <v>323028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v>933</v>
      </c>
      <c r="G79" s="221">
        <v>11578</v>
      </c>
      <c r="H79" s="118">
        <v>63731</v>
      </c>
      <c r="I79" s="133">
        <v>0</v>
      </c>
      <c r="J79" s="118"/>
      <c r="K79" s="118">
        <f>(H79+I79)-J79</f>
        <v>63731</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933</v>
      </c>
      <c r="G82" s="122">
        <f t="shared" si="8"/>
        <v>11578</v>
      </c>
      <c r="H82" s="118">
        <f t="shared" si="8"/>
        <v>386759</v>
      </c>
      <c r="I82" s="118">
        <f t="shared" si="8"/>
        <v>0</v>
      </c>
      <c r="J82" s="118">
        <f t="shared" si="8"/>
        <v>0</v>
      </c>
      <c r="K82" s="118">
        <f t="shared" si="8"/>
        <v>386759</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v>102</v>
      </c>
      <c r="G87" s="221">
        <v>609</v>
      </c>
      <c r="H87" s="118">
        <v>43717</v>
      </c>
      <c r="I87" s="133">
        <f t="shared" si="9"/>
        <v>26920.928599999999</v>
      </c>
      <c r="J87" s="118"/>
      <c r="K87" s="118">
        <f t="shared" si="10"/>
        <v>70637.928599999999</v>
      </c>
    </row>
    <row r="88" spans="1:11" ht="18" customHeight="1" x14ac:dyDescent="0.2">
      <c r="A88" s="435" t="s">
        <v>115</v>
      </c>
      <c r="B88" s="419" t="s">
        <v>116</v>
      </c>
      <c r="F88" s="221">
        <v>10400</v>
      </c>
      <c r="G88" s="221">
        <v>3435</v>
      </c>
      <c r="H88" s="118">
        <v>19200</v>
      </c>
      <c r="I88" s="133">
        <f t="shared" si="9"/>
        <v>11823.36</v>
      </c>
      <c r="J88" s="118"/>
      <c r="K88" s="118">
        <f t="shared" si="10"/>
        <v>31023.360000000001</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208</v>
      </c>
      <c r="G91" s="221">
        <v>125</v>
      </c>
      <c r="H91" s="118">
        <v>56200</v>
      </c>
      <c r="I91" s="133">
        <f t="shared" si="9"/>
        <v>34607.96</v>
      </c>
      <c r="J91" s="118"/>
      <c r="K91" s="118">
        <f t="shared" si="10"/>
        <v>90807.959999999992</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v>20</v>
      </c>
      <c r="G93" s="221">
        <v>310</v>
      </c>
      <c r="H93" s="118">
        <v>820</v>
      </c>
      <c r="I93" s="133">
        <f t="shared" si="9"/>
        <v>504.95600000000002</v>
      </c>
      <c r="J93" s="118"/>
      <c r="K93" s="118">
        <f t="shared" si="10"/>
        <v>1324.9560000000001</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10730</v>
      </c>
      <c r="G98" s="221">
        <f t="shared" si="11"/>
        <v>4479</v>
      </c>
      <c r="H98" s="221">
        <f t="shared" si="11"/>
        <v>119937</v>
      </c>
      <c r="I98" s="221">
        <f t="shared" si="11"/>
        <v>73857.204599999997</v>
      </c>
      <c r="J98" s="221">
        <f t="shared" si="11"/>
        <v>0</v>
      </c>
      <c r="K98" s="221">
        <f t="shared" si="11"/>
        <v>193794.2046</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1420</v>
      </c>
      <c r="G102" s="221"/>
      <c r="H102" s="118">
        <v>101620</v>
      </c>
      <c r="I102" s="133">
        <f>H102*F$114</f>
        <v>62577.596000000005</v>
      </c>
      <c r="J102" s="118"/>
      <c r="K102" s="118">
        <f>(H102+I102)-J102</f>
        <v>164197.59600000002</v>
      </c>
    </row>
    <row r="103" spans="1:11" ht="18" customHeight="1" x14ac:dyDescent="0.2">
      <c r="A103" s="435" t="s">
        <v>132</v>
      </c>
      <c r="B103" s="465" t="s">
        <v>62</v>
      </c>
      <c r="C103" s="465"/>
      <c r="F103" s="221">
        <v>12</v>
      </c>
      <c r="G103" s="221"/>
      <c r="H103" s="118">
        <v>36400</v>
      </c>
      <c r="I103" s="133">
        <f>H103*F$114</f>
        <v>22415.119999999999</v>
      </c>
      <c r="J103" s="118"/>
      <c r="K103" s="118">
        <f>(H103+I103)-J103</f>
        <v>58815.119999999995</v>
      </c>
    </row>
    <row r="104" spans="1:11" ht="18" customHeight="1" x14ac:dyDescent="0.2">
      <c r="A104" s="435" t="s">
        <v>128</v>
      </c>
      <c r="B104" s="418" t="s">
        <v>634</v>
      </c>
      <c r="C104" s="417"/>
      <c r="D104" s="412"/>
      <c r="F104" s="221">
        <v>12</v>
      </c>
      <c r="G104" s="221"/>
      <c r="H104" s="118">
        <v>20540</v>
      </c>
      <c r="I104" s="133">
        <f>H104*F$114</f>
        <v>12648.532000000001</v>
      </c>
      <c r="J104" s="118"/>
      <c r="K104" s="118">
        <f>(H104+I104)-J104</f>
        <v>33188.531999999999</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1444</v>
      </c>
      <c r="G108" s="221">
        <f t="shared" si="12"/>
        <v>0</v>
      </c>
      <c r="H108" s="118">
        <f t="shared" si="12"/>
        <v>158560</v>
      </c>
      <c r="I108" s="118">
        <f t="shared" si="12"/>
        <v>97641.248000000007</v>
      </c>
      <c r="J108" s="118">
        <f t="shared" si="12"/>
        <v>0</v>
      </c>
      <c r="K108" s="118">
        <f t="shared" si="12"/>
        <v>256201.24800000002</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8862484</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0.61580000000000001</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210247834</v>
      </c>
    </row>
    <row r="118" spans="1:6" ht="18" customHeight="1" x14ac:dyDescent="0.2">
      <c r="A118" s="435" t="s">
        <v>173</v>
      </c>
      <c r="B118" s="259" t="s">
        <v>18</v>
      </c>
      <c r="F118" s="118">
        <v>5989175</v>
      </c>
    </row>
    <row r="119" spans="1:6" ht="18" customHeight="1" x14ac:dyDescent="0.2">
      <c r="A119" s="435" t="s">
        <v>174</v>
      </c>
      <c r="B119" s="421" t="s">
        <v>19</v>
      </c>
      <c r="F119" s="118">
        <f>SUM(F117:F118)</f>
        <v>216237009</v>
      </c>
    </row>
    <row r="120" spans="1:6" ht="18" customHeight="1" x14ac:dyDescent="0.2">
      <c r="A120" s="435"/>
      <c r="B120" s="421"/>
    </row>
    <row r="121" spans="1:6" ht="18" customHeight="1" x14ac:dyDescent="0.2">
      <c r="A121" s="435" t="s">
        <v>167</v>
      </c>
      <c r="B121" s="421" t="s">
        <v>36</v>
      </c>
      <c r="F121" s="118">
        <v>195871667</v>
      </c>
    </row>
    <row r="122" spans="1:6" ht="18" customHeight="1" x14ac:dyDescent="0.2">
      <c r="A122" s="435"/>
    </row>
    <row r="123" spans="1:6" ht="18" customHeight="1" x14ac:dyDescent="0.2">
      <c r="A123" s="435" t="s">
        <v>175</v>
      </c>
      <c r="B123" s="421" t="s">
        <v>20</v>
      </c>
      <c r="F123" s="118">
        <v>20365342</v>
      </c>
    </row>
    <row r="124" spans="1:6" ht="18" customHeight="1" x14ac:dyDescent="0.2">
      <c r="A124" s="435"/>
    </row>
    <row r="125" spans="1:6" ht="18" customHeight="1" x14ac:dyDescent="0.2">
      <c r="A125" s="435" t="s">
        <v>176</v>
      </c>
      <c r="B125" s="421" t="s">
        <v>21</v>
      </c>
      <c r="F125" s="118">
        <v>-392899</v>
      </c>
    </row>
    <row r="126" spans="1:6" ht="18" customHeight="1" x14ac:dyDescent="0.2">
      <c r="A126" s="435"/>
    </row>
    <row r="127" spans="1:6" ht="18" customHeight="1" x14ac:dyDescent="0.2">
      <c r="A127" s="435" t="s">
        <v>177</v>
      </c>
      <c r="B127" s="421" t="s">
        <v>22</v>
      </c>
      <c r="F127" s="118">
        <v>19972443.000999998</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v>259359</v>
      </c>
      <c r="I131" s="133">
        <v>0</v>
      </c>
      <c r="J131" s="118"/>
      <c r="K131" s="118">
        <f>(H131+I131)-J131</f>
        <v>259359</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259359</v>
      </c>
      <c r="I137" s="118">
        <f t="shared" si="13"/>
        <v>0</v>
      </c>
      <c r="J137" s="118">
        <f t="shared" si="13"/>
        <v>0</v>
      </c>
      <c r="K137" s="118">
        <f t="shared" si="13"/>
        <v>259359</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14183</v>
      </c>
      <c r="G141" s="422">
        <f t="shared" si="14"/>
        <v>38300</v>
      </c>
      <c r="H141" s="422">
        <f t="shared" si="14"/>
        <v>1656309</v>
      </c>
      <c r="I141" s="422">
        <f t="shared" si="14"/>
        <v>1019955.0821999999</v>
      </c>
      <c r="J141" s="422">
        <f t="shared" si="14"/>
        <v>951972</v>
      </c>
      <c r="K141" s="422">
        <f t="shared" si="14"/>
        <v>1724292.0822000001</v>
      </c>
    </row>
    <row r="142" spans="1:11" ht="18" customHeight="1" x14ac:dyDescent="0.2">
      <c r="A142" s="435" t="s">
        <v>142</v>
      </c>
      <c r="B142" s="421" t="s">
        <v>65</v>
      </c>
      <c r="F142" s="422">
        <f t="shared" ref="F142:K142" si="15">F49</f>
        <v>23293</v>
      </c>
      <c r="G142" s="422">
        <f t="shared" si="15"/>
        <v>1352</v>
      </c>
      <c r="H142" s="422">
        <f t="shared" si="15"/>
        <v>1037863</v>
      </c>
      <c r="I142" s="422">
        <f t="shared" si="15"/>
        <v>0</v>
      </c>
      <c r="J142" s="422">
        <f t="shared" si="15"/>
        <v>0</v>
      </c>
      <c r="K142" s="422">
        <f t="shared" si="15"/>
        <v>1037863</v>
      </c>
    </row>
    <row r="143" spans="1:11" ht="18" customHeight="1" x14ac:dyDescent="0.2">
      <c r="A143" s="435" t="s">
        <v>144</v>
      </c>
      <c r="B143" s="421" t="s">
        <v>66</v>
      </c>
      <c r="F143" s="422">
        <f t="shared" ref="F143:J143" si="16">F64</f>
        <v>0</v>
      </c>
      <c r="G143" s="422">
        <f t="shared" si="16"/>
        <v>0</v>
      </c>
      <c r="H143" s="422">
        <f t="shared" si="16"/>
        <v>0</v>
      </c>
      <c r="I143" s="422">
        <f t="shared" si="16"/>
        <v>0</v>
      </c>
      <c r="J143" s="422">
        <f t="shared" si="16"/>
        <v>0</v>
      </c>
      <c r="K143" s="422"/>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933</v>
      </c>
      <c r="G145" s="422">
        <f t="shared" si="18"/>
        <v>11578</v>
      </c>
      <c r="H145" s="422">
        <f t="shared" si="18"/>
        <v>386759</v>
      </c>
      <c r="I145" s="422">
        <f t="shared" si="18"/>
        <v>0</v>
      </c>
      <c r="J145" s="422">
        <f t="shared" si="18"/>
        <v>0</v>
      </c>
      <c r="K145" s="422">
        <f t="shared" si="18"/>
        <v>386759</v>
      </c>
    </row>
    <row r="146" spans="1:11" ht="18" customHeight="1" x14ac:dyDescent="0.2">
      <c r="A146" s="435" t="s">
        <v>150</v>
      </c>
      <c r="B146" s="421" t="s">
        <v>69</v>
      </c>
      <c r="F146" s="422">
        <f t="shared" ref="F146:K146" si="19">F98</f>
        <v>10730</v>
      </c>
      <c r="G146" s="422">
        <f t="shared" si="19"/>
        <v>4479</v>
      </c>
      <c r="H146" s="422">
        <f t="shared" si="19"/>
        <v>119937</v>
      </c>
      <c r="I146" s="422">
        <f t="shared" si="19"/>
        <v>73857.204599999997</v>
      </c>
      <c r="J146" s="422">
        <f t="shared" si="19"/>
        <v>0</v>
      </c>
      <c r="K146" s="422">
        <f t="shared" si="19"/>
        <v>193794.2046</v>
      </c>
    </row>
    <row r="147" spans="1:11" ht="18" customHeight="1" x14ac:dyDescent="0.2">
      <c r="A147" s="435" t="s">
        <v>153</v>
      </c>
      <c r="B147" s="421" t="s">
        <v>61</v>
      </c>
      <c r="F147" s="221">
        <f t="shared" ref="F147:K147" si="20">F108</f>
        <v>1444</v>
      </c>
      <c r="G147" s="221">
        <f t="shared" si="20"/>
        <v>0</v>
      </c>
      <c r="H147" s="221">
        <f t="shared" si="20"/>
        <v>158560</v>
      </c>
      <c r="I147" s="221">
        <f t="shared" si="20"/>
        <v>97641.248000000007</v>
      </c>
      <c r="J147" s="221">
        <f t="shared" si="20"/>
        <v>0</v>
      </c>
      <c r="K147" s="221">
        <f t="shared" si="20"/>
        <v>256201.24800000002</v>
      </c>
    </row>
    <row r="148" spans="1:11" ht="18" customHeight="1" x14ac:dyDescent="0.2">
      <c r="A148" s="435" t="s">
        <v>155</v>
      </c>
      <c r="B148" s="421" t="s">
        <v>70</v>
      </c>
      <c r="F148" s="485" t="s">
        <v>73</v>
      </c>
      <c r="G148" s="485" t="s">
        <v>73</v>
      </c>
      <c r="H148" s="486" t="s">
        <v>73</v>
      </c>
      <c r="I148" s="486" t="s">
        <v>73</v>
      </c>
      <c r="J148" s="486" t="s">
        <v>73</v>
      </c>
      <c r="K148" s="423">
        <f>F111</f>
        <v>8862484</v>
      </c>
    </row>
    <row r="149" spans="1:11" ht="18" customHeight="1" x14ac:dyDescent="0.2">
      <c r="A149" s="435" t="s">
        <v>163</v>
      </c>
      <c r="B149" s="421" t="s">
        <v>71</v>
      </c>
      <c r="F149" s="221">
        <f t="shared" ref="F149:K149" si="21">F137</f>
        <v>0</v>
      </c>
      <c r="G149" s="221">
        <f t="shared" si="21"/>
        <v>0</v>
      </c>
      <c r="H149" s="221">
        <f t="shared" si="21"/>
        <v>259359</v>
      </c>
      <c r="I149" s="221">
        <f t="shared" si="21"/>
        <v>0</v>
      </c>
      <c r="J149" s="221">
        <f t="shared" si="21"/>
        <v>0</v>
      </c>
      <c r="K149" s="221">
        <f t="shared" si="21"/>
        <v>259359</v>
      </c>
    </row>
    <row r="150" spans="1:11" ht="18" customHeight="1" x14ac:dyDescent="0.2">
      <c r="A150" s="435" t="s">
        <v>185</v>
      </c>
      <c r="B150" s="421" t="s">
        <v>186</v>
      </c>
      <c r="F150" s="485" t="s">
        <v>73</v>
      </c>
      <c r="G150" s="485" t="s">
        <v>73</v>
      </c>
      <c r="H150" s="221">
        <f>H18</f>
        <v>5086765</v>
      </c>
      <c r="I150" s="221">
        <f>I18</f>
        <v>0</v>
      </c>
      <c r="J150" s="221">
        <f>J18</f>
        <v>4299320</v>
      </c>
      <c r="K150" s="221">
        <f>K18</f>
        <v>787445</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J152" si="22">SUM(F141:F150)</f>
        <v>50583</v>
      </c>
      <c r="G152" s="487">
        <f t="shared" si="22"/>
        <v>55709</v>
      </c>
      <c r="H152" s="487">
        <f t="shared" si="22"/>
        <v>8705552</v>
      </c>
      <c r="I152" s="487">
        <f t="shared" si="22"/>
        <v>1191453.5347999998</v>
      </c>
      <c r="J152" s="487">
        <f t="shared" si="22"/>
        <v>5251292</v>
      </c>
      <c r="K152" s="487">
        <f>SUM(K141:K150)</f>
        <v>13508197.5348</v>
      </c>
    </row>
    <row r="154" spans="1:11" ht="18" customHeight="1" x14ac:dyDescent="0.2">
      <c r="A154" s="455" t="s">
        <v>168</v>
      </c>
      <c r="B154" s="421" t="s">
        <v>28</v>
      </c>
      <c r="F154" s="140">
        <f>K152/F121</f>
        <v>6.8964530407555069E-2</v>
      </c>
    </row>
    <row r="155" spans="1:11" ht="18" customHeight="1" x14ac:dyDescent="0.2">
      <c r="A155" s="455" t="s">
        <v>169</v>
      </c>
      <c r="B155" s="421" t="s">
        <v>72</v>
      </c>
      <c r="F155" s="140">
        <f>K152/F127</f>
        <v>0.67634177421979169</v>
      </c>
      <c r="G155" s="421"/>
    </row>
    <row r="156" spans="1:11" ht="18" customHeight="1" x14ac:dyDescent="0.2">
      <c r="G156" s="421"/>
    </row>
  </sheetData>
  <sheetProtection algorithmName="SHA-512" hashValue="nY5HziUWr+f+aLp76HuNzlPT7eAyEUKxNME187em7TzVt6zwviD6ci7wxRc+ey30Fw7pbv+3bxPpzgTnFn12ZQ==" saltValue="+QBiTFKNGT4FWvPW/Z3fXg=="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156"/>
  <sheetViews>
    <sheetView showGridLines="0" zoomScale="80" zoomScaleNormal="80"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635</v>
      </c>
      <c r="D5" s="437"/>
      <c r="E5" s="437"/>
      <c r="F5" s="437"/>
      <c r="G5" s="438"/>
    </row>
    <row r="6" spans="1:11" ht="18" customHeight="1" x14ac:dyDescent="0.2">
      <c r="B6" s="435" t="s">
        <v>3</v>
      </c>
      <c r="C6" s="893">
        <v>60</v>
      </c>
      <c r="D6" s="894"/>
      <c r="E6" s="894"/>
      <c r="F6" s="894"/>
      <c r="G6" s="895"/>
    </row>
    <row r="7" spans="1:11" ht="18" customHeight="1" x14ac:dyDescent="0.2">
      <c r="B7" s="435" t="s">
        <v>4</v>
      </c>
      <c r="C7" s="398">
        <v>408</v>
      </c>
      <c r="D7" s="399"/>
      <c r="E7" s="399"/>
      <c r="F7" s="399"/>
      <c r="G7" s="400"/>
    </row>
    <row r="9" spans="1:11" ht="18" customHeight="1" x14ac:dyDescent="0.2">
      <c r="B9" s="435" t="s">
        <v>1</v>
      </c>
      <c r="C9" s="436" t="s">
        <v>636</v>
      </c>
      <c r="D9" s="437"/>
      <c r="E9" s="437"/>
      <c r="F9" s="437"/>
      <c r="G9" s="438"/>
    </row>
    <row r="10" spans="1:11" ht="18" customHeight="1" x14ac:dyDescent="0.2">
      <c r="B10" s="435" t="s">
        <v>2</v>
      </c>
      <c r="C10" s="445" t="s">
        <v>587</v>
      </c>
      <c r="D10" s="446"/>
      <c r="E10" s="446"/>
      <c r="F10" s="446"/>
      <c r="G10" s="447"/>
    </row>
    <row r="11" spans="1:11" ht="18" customHeight="1" x14ac:dyDescent="0.2">
      <c r="B11" s="435" t="s">
        <v>32</v>
      </c>
      <c r="C11" s="495" t="s">
        <v>637</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33">
        <v>1079915</v>
      </c>
      <c r="I18" s="133"/>
      <c r="J18" s="118">
        <v>912741</v>
      </c>
      <c r="K18" s="118">
        <f>(H18+I18)-J18</f>
        <v>167174</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12</v>
      </c>
      <c r="G21" s="221">
        <v>426</v>
      </c>
      <c r="H21" s="118">
        <v>21000</v>
      </c>
      <c r="I21" s="133">
        <f>12*60</f>
        <v>720</v>
      </c>
      <c r="J21" s="118"/>
      <c r="K21" s="118">
        <f t="shared" ref="K21:K34" si="0">(H21+I21)-J21</f>
        <v>21720</v>
      </c>
    </row>
    <row r="22" spans="1:11" ht="18" customHeight="1" x14ac:dyDescent="0.2">
      <c r="A22" s="435" t="s">
        <v>76</v>
      </c>
      <c r="B22" s="259" t="s">
        <v>6</v>
      </c>
      <c r="F22" s="221"/>
      <c r="G22" s="221"/>
      <c r="H22" s="118"/>
      <c r="I22" s="133">
        <f t="shared" ref="I22:I34" si="1">H22*F$114</f>
        <v>0</v>
      </c>
      <c r="J22" s="118"/>
      <c r="K22" s="118">
        <f t="shared" si="0"/>
        <v>0</v>
      </c>
    </row>
    <row r="23" spans="1:11" ht="18" customHeight="1" x14ac:dyDescent="0.2">
      <c r="A23" s="435" t="s">
        <v>77</v>
      </c>
      <c r="B23" s="259" t="s">
        <v>43</v>
      </c>
      <c r="F23" s="221"/>
      <c r="G23" s="221"/>
      <c r="H23" s="118"/>
      <c r="I23" s="133">
        <f t="shared" si="1"/>
        <v>0</v>
      </c>
      <c r="J23" s="118"/>
      <c r="K23" s="118">
        <f t="shared" si="0"/>
        <v>0</v>
      </c>
    </row>
    <row r="24" spans="1:11" ht="18" customHeight="1" x14ac:dyDescent="0.2">
      <c r="A24" s="435" t="s">
        <v>78</v>
      </c>
      <c r="B24" s="259" t="s">
        <v>44</v>
      </c>
      <c r="F24" s="221"/>
      <c r="G24" s="221"/>
      <c r="H24" s="118"/>
      <c r="I24" s="133">
        <f t="shared" si="1"/>
        <v>0</v>
      </c>
      <c r="J24" s="118"/>
      <c r="K24" s="118">
        <f t="shared" si="0"/>
        <v>0</v>
      </c>
    </row>
    <row r="25" spans="1:11" ht="18" customHeight="1" x14ac:dyDescent="0.2">
      <c r="A25" s="435" t="s">
        <v>79</v>
      </c>
      <c r="B25" s="259" t="s">
        <v>5</v>
      </c>
      <c r="F25" s="221">
        <v>314</v>
      </c>
      <c r="G25" s="221">
        <v>716</v>
      </c>
      <c r="H25" s="118">
        <v>14107.5</v>
      </c>
      <c r="I25" s="133">
        <f t="shared" si="1"/>
        <v>0</v>
      </c>
      <c r="J25" s="118"/>
      <c r="K25" s="118">
        <f t="shared" si="0"/>
        <v>14107.5</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c r="G29" s="221"/>
      <c r="H29" s="118"/>
      <c r="I29" s="133">
        <f t="shared" si="1"/>
        <v>0</v>
      </c>
      <c r="J29" s="118"/>
      <c r="K29" s="118">
        <f t="shared" si="0"/>
        <v>0</v>
      </c>
    </row>
    <row r="30" spans="1:11" ht="18" customHeight="1" x14ac:dyDescent="0.2">
      <c r="A30" s="435" t="s">
        <v>84</v>
      </c>
      <c r="B30" s="456" t="s">
        <v>638</v>
      </c>
      <c r="C30" s="457"/>
      <c r="D30" s="458"/>
      <c r="F30" s="221">
        <v>2080</v>
      </c>
      <c r="G30" s="221">
        <v>39</v>
      </c>
      <c r="H30" s="118">
        <v>89461</v>
      </c>
      <c r="I30" s="133">
        <v>13420</v>
      </c>
      <c r="J30" s="118"/>
      <c r="K30" s="118">
        <f t="shared" si="0"/>
        <v>102881</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2406</v>
      </c>
      <c r="G36" s="221">
        <f t="shared" si="2"/>
        <v>1181</v>
      </c>
      <c r="H36" s="221">
        <f t="shared" si="2"/>
        <v>124568.5</v>
      </c>
      <c r="I36" s="118">
        <f t="shared" si="2"/>
        <v>14140</v>
      </c>
      <c r="J36" s="118">
        <f t="shared" si="2"/>
        <v>0</v>
      </c>
      <c r="K36" s="118">
        <f t="shared" si="2"/>
        <v>138708.5</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2700</v>
      </c>
      <c r="G41" s="221">
        <v>36</v>
      </c>
      <c r="H41" s="118">
        <v>123304.8</v>
      </c>
      <c r="I41" s="133">
        <v>18495.72</v>
      </c>
      <c r="J41" s="118"/>
      <c r="K41" s="118">
        <f t="shared" si="3"/>
        <v>141800.52000000002</v>
      </c>
    </row>
    <row r="42" spans="1:11" ht="18" customHeight="1" x14ac:dyDescent="0.2">
      <c r="A42" s="435" t="s">
        <v>89</v>
      </c>
      <c r="B42" s="419" t="s">
        <v>11</v>
      </c>
      <c r="F42" s="221"/>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2700</v>
      </c>
      <c r="G49" s="409">
        <f t="shared" si="4"/>
        <v>36</v>
      </c>
      <c r="H49" s="118">
        <f t="shared" si="4"/>
        <v>123304.8</v>
      </c>
      <c r="I49" s="118">
        <f t="shared" si="4"/>
        <v>18495.72</v>
      </c>
      <c r="J49" s="118">
        <f t="shared" si="4"/>
        <v>0</v>
      </c>
      <c r="K49" s="118">
        <f t="shared" si="4"/>
        <v>141800.52000000002</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639</v>
      </c>
      <c r="C53" s="411"/>
      <c r="D53" s="412"/>
      <c r="F53" s="221">
        <v>4784</v>
      </c>
      <c r="G53" s="221">
        <v>10148</v>
      </c>
      <c r="H53" s="118">
        <f>255252+939763.46</f>
        <v>1195015.46</v>
      </c>
      <c r="I53" s="133">
        <v>25525</v>
      </c>
      <c r="J53" s="118">
        <v>263289</v>
      </c>
      <c r="K53" s="118">
        <f t="shared" ref="K53:K62" si="5">(H53+I53)-J53</f>
        <v>957251.46</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c r="C55" s="417"/>
      <c r="D55" s="412"/>
      <c r="F55" s="221"/>
      <c r="G55" s="221"/>
      <c r="H55" s="118"/>
      <c r="I55" s="133">
        <v>0</v>
      </c>
      <c r="J55" s="118"/>
      <c r="K55" s="118">
        <f t="shared" si="5"/>
        <v>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4784</v>
      </c>
      <c r="G64" s="221">
        <f t="shared" si="6"/>
        <v>10148</v>
      </c>
      <c r="H64" s="118">
        <f t="shared" si="6"/>
        <v>1195015.46</v>
      </c>
      <c r="I64" s="118">
        <f t="shared" si="6"/>
        <v>25525</v>
      </c>
      <c r="J64" s="118">
        <f t="shared" si="6"/>
        <v>263289</v>
      </c>
      <c r="K64" s="118">
        <f t="shared" si="6"/>
        <v>957251.46</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8100</v>
      </c>
      <c r="I77" s="133">
        <v>0</v>
      </c>
      <c r="J77" s="118"/>
      <c r="K77" s="118">
        <f>(H77+I77)-J77</f>
        <v>8100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8100</v>
      </c>
      <c r="I82" s="118">
        <f t="shared" si="8"/>
        <v>0</v>
      </c>
      <c r="J82" s="118">
        <f t="shared" si="8"/>
        <v>0</v>
      </c>
      <c r="K82" s="118">
        <f t="shared" si="8"/>
        <v>8100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c r="G93" s="221"/>
      <c r="H93" s="118"/>
      <c r="I93" s="133">
        <f t="shared" si="9"/>
        <v>0</v>
      </c>
      <c r="J93" s="118"/>
      <c r="K93" s="118">
        <f t="shared" si="10"/>
        <v>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0</v>
      </c>
      <c r="G98" s="221">
        <f t="shared" si="11"/>
        <v>0</v>
      </c>
      <c r="H98" s="221">
        <f t="shared" si="11"/>
        <v>0</v>
      </c>
      <c r="I98" s="221">
        <f t="shared" si="11"/>
        <v>0</v>
      </c>
      <c r="J98" s="221">
        <f t="shared" si="11"/>
        <v>0</v>
      </c>
      <c r="K98" s="221">
        <f t="shared" si="11"/>
        <v>0</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416</v>
      </c>
      <c r="G102" s="221"/>
      <c r="H102" s="118">
        <f>45*F102</f>
        <v>18720</v>
      </c>
      <c r="I102" s="133">
        <v>7599</v>
      </c>
      <c r="J102" s="118"/>
      <c r="K102" s="118">
        <f>(H102+I102)-J102</f>
        <v>26319</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416</v>
      </c>
      <c r="G108" s="221">
        <f t="shared" si="12"/>
        <v>0</v>
      </c>
      <c r="H108" s="118">
        <f t="shared" si="12"/>
        <v>18720</v>
      </c>
      <c r="I108" s="118">
        <f t="shared" si="12"/>
        <v>7599</v>
      </c>
      <c r="J108" s="118">
        <f t="shared" si="12"/>
        <v>0</v>
      </c>
      <c r="K108" s="118">
        <f t="shared" si="12"/>
        <v>26319</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928769</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42043879</v>
      </c>
    </row>
    <row r="118" spans="1:6" ht="18" customHeight="1" x14ac:dyDescent="0.2">
      <c r="A118" s="435" t="s">
        <v>173</v>
      </c>
      <c r="B118" s="259" t="s">
        <v>18</v>
      </c>
      <c r="F118" s="118">
        <v>677819</v>
      </c>
    </row>
    <row r="119" spans="1:6" ht="18" customHeight="1" x14ac:dyDescent="0.2">
      <c r="A119" s="435" t="s">
        <v>174</v>
      </c>
      <c r="B119" s="421" t="s">
        <v>19</v>
      </c>
      <c r="F119" s="118">
        <f>SUM(F117:F118)</f>
        <v>42721698</v>
      </c>
    </row>
    <row r="120" spans="1:6" ht="18" customHeight="1" x14ac:dyDescent="0.2">
      <c r="A120" s="435"/>
      <c r="B120" s="421"/>
    </row>
    <row r="121" spans="1:6" ht="18" customHeight="1" x14ac:dyDescent="0.2">
      <c r="A121" s="435" t="s">
        <v>167</v>
      </c>
      <c r="B121" s="421" t="s">
        <v>36</v>
      </c>
      <c r="F121" s="118">
        <v>42237402</v>
      </c>
    </row>
    <row r="122" spans="1:6" ht="18" customHeight="1" x14ac:dyDescent="0.2">
      <c r="A122" s="435"/>
    </row>
    <row r="123" spans="1:6" ht="18" customHeight="1" x14ac:dyDescent="0.2">
      <c r="A123" s="435" t="s">
        <v>175</v>
      </c>
      <c r="B123" s="421" t="s">
        <v>20</v>
      </c>
      <c r="F123" s="118">
        <v>484296</v>
      </c>
    </row>
    <row r="124" spans="1:6" ht="18" customHeight="1" x14ac:dyDescent="0.2">
      <c r="A124" s="435"/>
    </row>
    <row r="125" spans="1:6" ht="18" customHeight="1" x14ac:dyDescent="0.2">
      <c r="A125" s="435" t="s">
        <v>176</v>
      </c>
      <c r="B125" s="421" t="s">
        <v>21</v>
      </c>
      <c r="F125" s="118">
        <v>-54722</v>
      </c>
    </row>
    <row r="126" spans="1:6" ht="18" customHeight="1" x14ac:dyDescent="0.2">
      <c r="A126" s="435"/>
    </row>
    <row r="127" spans="1:6" ht="18" customHeight="1" x14ac:dyDescent="0.2">
      <c r="A127" s="435" t="s">
        <v>177</v>
      </c>
      <c r="B127" s="421" t="s">
        <v>22</v>
      </c>
      <c r="F127" s="118">
        <v>429574</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2406</v>
      </c>
      <c r="G141" s="422">
        <f t="shared" si="14"/>
        <v>1181</v>
      </c>
      <c r="H141" s="422">
        <f t="shared" si="14"/>
        <v>124568.5</v>
      </c>
      <c r="I141" s="422">
        <f t="shared" si="14"/>
        <v>14140</v>
      </c>
      <c r="J141" s="422">
        <f t="shared" si="14"/>
        <v>0</v>
      </c>
      <c r="K141" s="422">
        <f t="shared" si="14"/>
        <v>138708.5</v>
      </c>
    </row>
    <row r="142" spans="1:11" ht="18" customHeight="1" x14ac:dyDescent="0.2">
      <c r="A142" s="435" t="s">
        <v>142</v>
      </c>
      <c r="B142" s="421" t="s">
        <v>65</v>
      </c>
      <c r="F142" s="422">
        <f t="shared" ref="F142:K142" si="15">F49</f>
        <v>2700</v>
      </c>
      <c r="G142" s="422">
        <f t="shared" si="15"/>
        <v>36</v>
      </c>
      <c r="H142" s="422">
        <f t="shared" si="15"/>
        <v>123304.8</v>
      </c>
      <c r="I142" s="422">
        <f t="shared" si="15"/>
        <v>18495.72</v>
      </c>
      <c r="J142" s="422">
        <f t="shared" si="15"/>
        <v>0</v>
      </c>
      <c r="K142" s="422">
        <f t="shared" si="15"/>
        <v>141800.52000000002</v>
      </c>
    </row>
    <row r="143" spans="1:11" ht="18" customHeight="1" x14ac:dyDescent="0.2">
      <c r="A143" s="435" t="s">
        <v>144</v>
      </c>
      <c r="B143" s="421" t="s">
        <v>66</v>
      </c>
      <c r="F143" s="422">
        <f t="shared" ref="F143:K143" si="16">F64</f>
        <v>4784</v>
      </c>
      <c r="G143" s="422">
        <f t="shared" si="16"/>
        <v>10148</v>
      </c>
      <c r="H143" s="422">
        <f t="shared" si="16"/>
        <v>1195015.46</v>
      </c>
      <c r="I143" s="422">
        <f t="shared" si="16"/>
        <v>25525</v>
      </c>
      <c r="J143" s="422">
        <f t="shared" si="16"/>
        <v>263289</v>
      </c>
      <c r="K143" s="422">
        <f t="shared" si="16"/>
        <v>957251.46</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0</v>
      </c>
      <c r="G145" s="422">
        <f t="shared" si="18"/>
        <v>0</v>
      </c>
      <c r="H145" s="422">
        <f t="shared" si="18"/>
        <v>8100</v>
      </c>
      <c r="I145" s="422">
        <f t="shared" si="18"/>
        <v>0</v>
      </c>
      <c r="J145" s="422">
        <f t="shared" si="18"/>
        <v>0</v>
      </c>
      <c r="K145" s="422">
        <f t="shared" si="18"/>
        <v>8100</v>
      </c>
    </row>
    <row r="146" spans="1:11" ht="18" customHeight="1" x14ac:dyDescent="0.2">
      <c r="A146" s="435" t="s">
        <v>150</v>
      </c>
      <c r="B146" s="421" t="s">
        <v>69</v>
      </c>
      <c r="F146" s="422">
        <f t="shared" ref="F146:K146" si="19">F98</f>
        <v>0</v>
      </c>
      <c r="G146" s="422">
        <f t="shared" si="19"/>
        <v>0</v>
      </c>
      <c r="H146" s="422">
        <f t="shared" si="19"/>
        <v>0</v>
      </c>
      <c r="I146" s="422">
        <f t="shared" si="19"/>
        <v>0</v>
      </c>
      <c r="J146" s="422">
        <f t="shared" si="19"/>
        <v>0</v>
      </c>
      <c r="K146" s="422">
        <f t="shared" si="19"/>
        <v>0</v>
      </c>
    </row>
    <row r="147" spans="1:11" ht="18" customHeight="1" x14ac:dyDescent="0.2">
      <c r="A147" s="435" t="s">
        <v>153</v>
      </c>
      <c r="B147" s="421" t="s">
        <v>61</v>
      </c>
      <c r="F147" s="221">
        <f t="shared" ref="F147:K147" si="20">F108</f>
        <v>416</v>
      </c>
      <c r="G147" s="221">
        <f t="shared" si="20"/>
        <v>0</v>
      </c>
      <c r="H147" s="221">
        <f t="shared" si="20"/>
        <v>18720</v>
      </c>
      <c r="I147" s="221">
        <f t="shared" si="20"/>
        <v>7599</v>
      </c>
      <c r="J147" s="221">
        <f t="shared" si="20"/>
        <v>0</v>
      </c>
      <c r="K147" s="221">
        <f t="shared" si="20"/>
        <v>26319</v>
      </c>
    </row>
    <row r="148" spans="1:11" ht="18" customHeight="1" x14ac:dyDescent="0.2">
      <c r="A148" s="435" t="s">
        <v>155</v>
      </c>
      <c r="B148" s="421" t="s">
        <v>70</v>
      </c>
      <c r="F148" s="485" t="s">
        <v>73</v>
      </c>
      <c r="G148" s="485" t="s">
        <v>73</v>
      </c>
      <c r="H148" s="486" t="s">
        <v>73</v>
      </c>
      <c r="I148" s="486" t="s">
        <v>73</v>
      </c>
      <c r="J148" s="486" t="s">
        <v>73</v>
      </c>
      <c r="K148" s="423">
        <f>F111</f>
        <v>928769</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1079915</v>
      </c>
      <c r="I150" s="221">
        <f>I18</f>
        <v>0</v>
      </c>
      <c r="J150" s="221">
        <f>J18</f>
        <v>912741</v>
      </c>
      <c r="K150" s="221">
        <f>K18</f>
        <v>167174</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10306</v>
      </c>
      <c r="G152" s="487">
        <f t="shared" si="22"/>
        <v>11365</v>
      </c>
      <c r="H152" s="487">
        <f t="shared" si="22"/>
        <v>2549623.7599999998</v>
      </c>
      <c r="I152" s="487">
        <f t="shared" si="22"/>
        <v>65759.72</v>
      </c>
      <c r="J152" s="487">
        <f t="shared" si="22"/>
        <v>1176030</v>
      </c>
      <c r="K152" s="487">
        <f t="shared" si="22"/>
        <v>2368122.48</v>
      </c>
    </row>
    <row r="154" spans="1:11" ht="18" customHeight="1" x14ac:dyDescent="0.2">
      <c r="A154" s="455" t="s">
        <v>168</v>
      </c>
      <c r="B154" s="421" t="s">
        <v>28</v>
      </c>
      <c r="F154" s="140">
        <f>K152/F121</f>
        <v>5.6066954118058683E-2</v>
      </c>
    </row>
    <row r="155" spans="1:11" ht="18" customHeight="1" x14ac:dyDescent="0.2">
      <c r="A155" s="455" t="s">
        <v>169</v>
      </c>
      <c r="B155" s="421" t="s">
        <v>72</v>
      </c>
      <c r="F155" s="140">
        <f>K152/F127</f>
        <v>5.5127230232742201</v>
      </c>
      <c r="G155" s="421"/>
    </row>
    <row r="156" spans="1:11" ht="18" customHeight="1" x14ac:dyDescent="0.2">
      <c r="G156" s="421"/>
    </row>
  </sheetData>
  <sheetProtection algorithmName="SHA-512" hashValue="dynwheLzChF7aCW8H2uiHclAQeinaVnGNoxJ5QbAcbMt4zR14prLY0ifA0w+vBr/j/9Si5gi7D80qtwUanBmEg==" saltValue="XD+ohFfpR7FEM5A/M3JXSQ==" spinCount="100000" sheet="1" objects="1" scenarios="1"/>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156"/>
  <sheetViews>
    <sheetView showGridLines="0" zoomScale="85" zoomScaleNormal="85"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242</v>
      </c>
      <c r="D5" s="437"/>
      <c r="E5" s="437"/>
      <c r="F5" s="437"/>
      <c r="G5" s="438"/>
    </row>
    <row r="6" spans="1:11" ht="18" customHeight="1" x14ac:dyDescent="0.2">
      <c r="B6" s="435" t="s">
        <v>3</v>
      </c>
      <c r="C6" s="439">
        <v>61</v>
      </c>
      <c r="D6" s="440"/>
      <c r="E6" s="440"/>
      <c r="F6" s="440"/>
      <c r="G6" s="441"/>
    </row>
    <row r="7" spans="1:11" ht="18" customHeight="1" x14ac:dyDescent="0.2">
      <c r="B7" s="435" t="s">
        <v>4</v>
      </c>
      <c r="C7" s="492">
        <v>950</v>
      </c>
      <c r="D7" s="493"/>
      <c r="E7" s="493"/>
      <c r="F7" s="493"/>
      <c r="G7" s="494"/>
    </row>
    <row r="9" spans="1:11" ht="18" customHeight="1" x14ac:dyDescent="0.2">
      <c r="B9" s="435" t="s">
        <v>1</v>
      </c>
      <c r="C9" s="436" t="s">
        <v>243</v>
      </c>
      <c r="D9" s="437"/>
      <c r="E9" s="437"/>
      <c r="F9" s="437"/>
      <c r="G9" s="438"/>
    </row>
    <row r="10" spans="1:11" ht="18" customHeight="1" x14ac:dyDescent="0.2">
      <c r="B10" s="435" t="s">
        <v>2</v>
      </c>
      <c r="C10" s="445" t="s">
        <v>622</v>
      </c>
      <c r="D10" s="446"/>
      <c r="E10" s="446"/>
      <c r="F10" s="446"/>
      <c r="G10" s="447"/>
    </row>
    <row r="11" spans="1:11" ht="18" customHeight="1" x14ac:dyDescent="0.2">
      <c r="B11" s="435" t="s">
        <v>32</v>
      </c>
      <c r="C11" s="634" t="s">
        <v>244</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2363471.13</v>
      </c>
      <c r="I18" s="133">
        <v>0</v>
      </c>
      <c r="J18" s="118">
        <v>1997599.49</v>
      </c>
      <c r="K18" s="118">
        <f>(H18+I18)-J18</f>
        <v>365871.6399999999</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101">
        <v>1867.3</v>
      </c>
      <c r="G21" s="101">
        <v>17351</v>
      </c>
      <c r="H21" s="141">
        <v>145618</v>
      </c>
      <c r="I21" s="133">
        <f t="shared" ref="I21:I34" si="0">H21*F$114</f>
        <v>104626.53300000001</v>
      </c>
      <c r="J21" s="118">
        <v>1822</v>
      </c>
      <c r="K21" s="118">
        <f t="shared" ref="K21:K34" si="1">(H21+I21)-J21</f>
        <v>248422.533</v>
      </c>
    </row>
    <row r="22" spans="1:11" ht="18" customHeight="1" x14ac:dyDescent="0.2">
      <c r="A22" s="435" t="s">
        <v>76</v>
      </c>
      <c r="B22" s="259" t="s">
        <v>6</v>
      </c>
      <c r="F22" s="101">
        <v>192.5</v>
      </c>
      <c r="G22" s="101">
        <v>514</v>
      </c>
      <c r="H22" s="141">
        <v>6467</v>
      </c>
      <c r="I22" s="133">
        <f t="shared" si="0"/>
        <v>4646.5394999999999</v>
      </c>
      <c r="J22" s="118"/>
      <c r="K22" s="118">
        <f t="shared" si="1"/>
        <v>11113.539499999999</v>
      </c>
    </row>
    <row r="23" spans="1:11" ht="18" customHeight="1" x14ac:dyDescent="0.2">
      <c r="A23" s="435" t="s">
        <v>77</v>
      </c>
      <c r="B23" s="259" t="s">
        <v>43</v>
      </c>
      <c r="F23" s="101"/>
      <c r="G23" s="101"/>
      <c r="H23" s="141"/>
      <c r="I23" s="133">
        <f t="shared" si="0"/>
        <v>0</v>
      </c>
      <c r="J23" s="118"/>
      <c r="K23" s="118">
        <f t="shared" si="1"/>
        <v>0</v>
      </c>
    </row>
    <row r="24" spans="1:11" ht="18" customHeight="1" x14ac:dyDescent="0.2">
      <c r="A24" s="435" t="s">
        <v>78</v>
      </c>
      <c r="B24" s="259" t="s">
        <v>44</v>
      </c>
      <c r="F24" s="101">
        <v>221.8</v>
      </c>
      <c r="G24" s="101">
        <v>160</v>
      </c>
      <c r="H24" s="141">
        <v>6850</v>
      </c>
      <c r="I24" s="133">
        <f t="shared" si="0"/>
        <v>4921.7250000000004</v>
      </c>
      <c r="J24" s="118"/>
      <c r="K24" s="118">
        <f t="shared" si="1"/>
        <v>11771.725</v>
      </c>
    </row>
    <row r="25" spans="1:11" ht="18" customHeight="1" x14ac:dyDescent="0.2">
      <c r="A25" s="435" t="s">
        <v>79</v>
      </c>
      <c r="B25" s="259" t="s">
        <v>5</v>
      </c>
      <c r="F25" s="101">
        <v>279.5</v>
      </c>
      <c r="G25" s="101">
        <v>1385</v>
      </c>
      <c r="H25" s="141">
        <v>9519</v>
      </c>
      <c r="I25" s="133">
        <f t="shared" si="0"/>
        <v>6839.4014999999999</v>
      </c>
      <c r="J25" s="118"/>
      <c r="K25" s="118">
        <f t="shared" si="1"/>
        <v>16358.4015</v>
      </c>
    </row>
    <row r="26" spans="1:11" ht="18" customHeight="1" x14ac:dyDescent="0.2">
      <c r="A26" s="435" t="s">
        <v>80</v>
      </c>
      <c r="B26" s="259" t="s">
        <v>45</v>
      </c>
      <c r="F26" s="101"/>
      <c r="G26" s="101"/>
      <c r="H26" s="141"/>
      <c r="I26" s="133">
        <f t="shared" si="0"/>
        <v>0</v>
      </c>
      <c r="J26" s="118"/>
      <c r="K26" s="118">
        <f t="shared" si="1"/>
        <v>0</v>
      </c>
    </row>
    <row r="27" spans="1:11" ht="18" customHeight="1" x14ac:dyDescent="0.2">
      <c r="A27" s="435" t="s">
        <v>81</v>
      </c>
      <c r="B27" s="259" t="s">
        <v>536</v>
      </c>
      <c r="F27" s="101">
        <v>200.2</v>
      </c>
      <c r="G27" s="101">
        <v>3584</v>
      </c>
      <c r="H27" s="141">
        <v>98381</v>
      </c>
      <c r="I27" s="133">
        <f t="shared" si="0"/>
        <v>70686.748500000002</v>
      </c>
      <c r="J27" s="118"/>
      <c r="K27" s="118">
        <f t="shared" si="1"/>
        <v>169067.74849999999</v>
      </c>
    </row>
    <row r="28" spans="1:11" ht="18" customHeight="1" x14ac:dyDescent="0.2">
      <c r="A28" s="435" t="s">
        <v>82</v>
      </c>
      <c r="B28" s="259" t="s">
        <v>47</v>
      </c>
      <c r="F28" s="101"/>
      <c r="G28" s="101"/>
      <c r="H28" s="141"/>
      <c r="I28" s="133">
        <f t="shared" si="0"/>
        <v>0</v>
      </c>
      <c r="J28" s="118"/>
      <c r="K28" s="118">
        <f t="shared" si="1"/>
        <v>0</v>
      </c>
    </row>
    <row r="29" spans="1:11" ht="18" customHeight="1" x14ac:dyDescent="0.2">
      <c r="A29" s="435" t="s">
        <v>83</v>
      </c>
      <c r="B29" s="259" t="s">
        <v>48</v>
      </c>
      <c r="F29" s="101">
        <v>1782</v>
      </c>
      <c r="G29" s="101">
        <v>799</v>
      </c>
      <c r="H29" s="141">
        <v>33677</v>
      </c>
      <c r="I29" s="133">
        <f t="shared" si="0"/>
        <v>24196.924500000001</v>
      </c>
      <c r="J29" s="118"/>
      <c r="K29" s="118">
        <f t="shared" si="1"/>
        <v>57873.924500000001</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4543.3</v>
      </c>
      <c r="G36" s="221">
        <f t="shared" si="2"/>
        <v>23793</v>
      </c>
      <c r="H36" s="221">
        <f t="shared" si="2"/>
        <v>300512</v>
      </c>
      <c r="I36" s="118">
        <f t="shared" si="2"/>
        <v>215917.872</v>
      </c>
      <c r="J36" s="118">
        <f t="shared" si="2"/>
        <v>1822</v>
      </c>
      <c r="K36" s="118">
        <f t="shared" si="2"/>
        <v>514607.87199999997</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101">
        <v>278</v>
      </c>
      <c r="G40" s="101">
        <v>0</v>
      </c>
      <c r="H40" s="141">
        <v>36487</v>
      </c>
      <c r="I40" s="133">
        <v>0</v>
      </c>
      <c r="J40" s="118"/>
      <c r="K40" s="118">
        <f t="shared" ref="K40:K47" si="3">(H40+I40)-J40</f>
        <v>36487</v>
      </c>
    </row>
    <row r="41" spans="1:11" ht="18" customHeight="1" x14ac:dyDescent="0.2">
      <c r="A41" s="435" t="s">
        <v>88</v>
      </c>
      <c r="B41" s="465" t="s">
        <v>50</v>
      </c>
      <c r="C41" s="466"/>
      <c r="F41" s="101">
        <v>2970.5</v>
      </c>
      <c r="G41" s="101">
        <v>1698</v>
      </c>
      <c r="H41" s="141">
        <v>105180</v>
      </c>
      <c r="I41" s="133">
        <v>0</v>
      </c>
      <c r="J41" s="118">
        <v>1400</v>
      </c>
      <c r="K41" s="118">
        <f t="shared" si="3"/>
        <v>103780</v>
      </c>
    </row>
    <row r="42" spans="1:11" ht="18" customHeight="1" x14ac:dyDescent="0.2">
      <c r="A42" s="435" t="s">
        <v>89</v>
      </c>
      <c r="B42" s="419" t="s">
        <v>11</v>
      </c>
      <c r="F42" s="101">
        <v>6424.5</v>
      </c>
      <c r="G42" s="101">
        <v>1388</v>
      </c>
      <c r="H42" s="141">
        <v>207813</v>
      </c>
      <c r="I42" s="133">
        <v>0</v>
      </c>
      <c r="J42" s="118"/>
      <c r="K42" s="118">
        <f t="shared" si="3"/>
        <v>207813</v>
      </c>
    </row>
    <row r="43" spans="1:11" ht="18" customHeight="1" x14ac:dyDescent="0.2">
      <c r="A43" s="435" t="s">
        <v>90</v>
      </c>
      <c r="B43" s="467" t="s">
        <v>10</v>
      </c>
      <c r="C43" s="468"/>
      <c r="D43" s="468"/>
      <c r="F43" s="101">
        <v>52</v>
      </c>
      <c r="G43" s="101">
        <v>374</v>
      </c>
      <c r="H43" s="141">
        <v>2178</v>
      </c>
      <c r="I43" s="144">
        <v>0</v>
      </c>
      <c r="J43" s="141"/>
      <c r="K43" s="141">
        <v>2178</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9725</v>
      </c>
      <c r="G49" s="409">
        <f t="shared" si="4"/>
        <v>3460</v>
      </c>
      <c r="H49" s="118">
        <f t="shared" si="4"/>
        <v>351658</v>
      </c>
      <c r="I49" s="118">
        <f t="shared" si="4"/>
        <v>0</v>
      </c>
      <c r="J49" s="118">
        <f t="shared" si="4"/>
        <v>1400</v>
      </c>
      <c r="K49" s="118">
        <f t="shared" si="4"/>
        <v>350258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565" t="s">
        <v>324</v>
      </c>
      <c r="C53" s="566"/>
      <c r="D53" s="567"/>
      <c r="F53" s="101">
        <v>93</v>
      </c>
      <c r="G53" s="101">
        <v>585</v>
      </c>
      <c r="H53" s="141">
        <v>3786</v>
      </c>
      <c r="I53" s="133">
        <v>0</v>
      </c>
      <c r="J53" s="118">
        <v>37</v>
      </c>
      <c r="K53" s="118">
        <f t="shared" ref="K53:K62" si="5">(H53+I53)-J53</f>
        <v>3749</v>
      </c>
    </row>
    <row r="54" spans="1:11" ht="18" customHeight="1" x14ac:dyDescent="0.2">
      <c r="A54" s="435" t="s">
        <v>93</v>
      </c>
      <c r="B54" s="578" t="s">
        <v>623</v>
      </c>
      <c r="C54" s="579"/>
      <c r="D54" s="580"/>
      <c r="F54" s="101">
        <v>36</v>
      </c>
      <c r="G54" s="101">
        <v>5</v>
      </c>
      <c r="H54" s="141">
        <v>111279</v>
      </c>
      <c r="I54" s="133">
        <v>0</v>
      </c>
      <c r="J54" s="118"/>
      <c r="K54" s="118">
        <f t="shared" si="5"/>
        <v>111279</v>
      </c>
    </row>
    <row r="55" spans="1:11" ht="18" customHeight="1" x14ac:dyDescent="0.2">
      <c r="A55" s="435" t="s">
        <v>94</v>
      </c>
      <c r="B55" s="568" t="s">
        <v>624</v>
      </c>
      <c r="C55" s="569"/>
      <c r="D55" s="567"/>
      <c r="F55" s="101"/>
      <c r="G55" s="101"/>
      <c r="H55" s="141">
        <v>27125</v>
      </c>
      <c r="I55" s="133">
        <v>0</v>
      </c>
      <c r="J55" s="118"/>
      <c r="K55" s="118">
        <f t="shared" si="5"/>
        <v>27125</v>
      </c>
    </row>
    <row r="56" spans="1:11" ht="18" customHeight="1" x14ac:dyDescent="0.2">
      <c r="A56" s="435" t="s">
        <v>95</v>
      </c>
      <c r="B56" s="568" t="s">
        <v>862</v>
      </c>
      <c r="C56" s="569"/>
      <c r="D56" s="567"/>
      <c r="F56" s="221"/>
      <c r="G56" s="221"/>
      <c r="H56" s="141">
        <v>8860938</v>
      </c>
      <c r="I56" s="133">
        <v>0</v>
      </c>
      <c r="J56" s="118"/>
      <c r="K56" s="118">
        <f t="shared" si="5"/>
        <v>8860938</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129</v>
      </c>
      <c r="G64" s="221">
        <f t="shared" si="6"/>
        <v>590</v>
      </c>
      <c r="H64" s="118">
        <f t="shared" si="6"/>
        <v>9003128</v>
      </c>
      <c r="I64" s="118">
        <f t="shared" si="6"/>
        <v>0</v>
      </c>
      <c r="J64" s="118">
        <f t="shared" si="6"/>
        <v>37</v>
      </c>
      <c r="K64" s="118">
        <f t="shared" si="6"/>
        <v>9003091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101">
        <v>24.5</v>
      </c>
      <c r="G78" s="101">
        <v>11</v>
      </c>
      <c r="H78" s="141">
        <v>2014</v>
      </c>
      <c r="I78" s="133">
        <v>0</v>
      </c>
      <c r="J78" s="118"/>
      <c r="K78" s="118">
        <f>(H78+I78)-J78</f>
        <v>2014</v>
      </c>
    </row>
    <row r="79" spans="1:11" ht="18" customHeight="1" x14ac:dyDescent="0.2">
      <c r="A79" s="435" t="s">
        <v>109</v>
      </c>
      <c r="B79" s="419" t="s">
        <v>13</v>
      </c>
      <c r="F79" s="101">
        <v>55</v>
      </c>
      <c r="G79" s="101">
        <v>2608</v>
      </c>
      <c r="H79" s="141">
        <v>32305</v>
      </c>
      <c r="I79" s="133">
        <v>0</v>
      </c>
      <c r="J79" s="118"/>
      <c r="K79" s="118">
        <f>(H79+I79)-J79</f>
        <v>32305</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79.5</v>
      </c>
      <c r="G82" s="122">
        <f t="shared" si="8"/>
        <v>2619</v>
      </c>
      <c r="H82" s="118">
        <f t="shared" si="8"/>
        <v>34319</v>
      </c>
      <c r="I82" s="118">
        <f t="shared" si="8"/>
        <v>0</v>
      </c>
      <c r="J82" s="118">
        <f t="shared" si="8"/>
        <v>0</v>
      </c>
      <c r="K82" s="118">
        <f t="shared" si="8"/>
        <v>34319</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101">
        <v>12</v>
      </c>
      <c r="G86" s="101">
        <v>150</v>
      </c>
      <c r="H86" s="141">
        <v>1050</v>
      </c>
      <c r="I86" s="133">
        <f t="shared" ref="I86:I96" si="9">H86*F$114</f>
        <v>754.42500000000007</v>
      </c>
      <c r="J86" s="118"/>
      <c r="K86" s="118">
        <f t="shared" ref="K86:K96" si="10">(H86+I86)-J86</f>
        <v>1804.4250000000002</v>
      </c>
    </row>
    <row r="87" spans="1:11" ht="18" customHeight="1" x14ac:dyDescent="0.2">
      <c r="A87" s="435" t="s">
        <v>114</v>
      </c>
      <c r="B87" s="419" t="s">
        <v>14</v>
      </c>
      <c r="F87" s="101">
        <v>23</v>
      </c>
      <c r="G87" s="101">
        <v>426</v>
      </c>
      <c r="H87" s="141">
        <v>932</v>
      </c>
      <c r="I87" s="133">
        <f t="shared" si="9"/>
        <v>669.64200000000005</v>
      </c>
      <c r="J87" s="118"/>
      <c r="K87" s="118">
        <f t="shared" si="10"/>
        <v>1601.6420000000001</v>
      </c>
    </row>
    <row r="88" spans="1:11" ht="18" customHeight="1" x14ac:dyDescent="0.2">
      <c r="A88" s="435" t="s">
        <v>115</v>
      </c>
      <c r="B88" s="419" t="s">
        <v>116</v>
      </c>
      <c r="F88" s="101">
        <v>724.5</v>
      </c>
      <c r="G88" s="101">
        <v>2475</v>
      </c>
      <c r="H88" s="141">
        <v>59900</v>
      </c>
      <c r="I88" s="133">
        <f t="shared" si="9"/>
        <v>43038.15</v>
      </c>
      <c r="J88" s="118"/>
      <c r="K88" s="118">
        <f t="shared" si="10"/>
        <v>102938.15</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101">
        <v>277.5</v>
      </c>
      <c r="G91" s="101">
        <v>599</v>
      </c>
      <c r="H91" s="141">
        <v>14970</v>
      </c>
      <c r="I91" s="133">
        <f t="shared" si="9"/>
        <v>10755.945</v>
      </c>
      <c r="J91" s="118"/>
      <c r="K91" s="118">
        <f t="shared" si="10"/>
        <v>25725.945</v>
      </c>
    </row>
    <row r="92" spans="1:11" ht="18" customHeight="1" x14ac:dyDescent="0.2">
      <c r="A92" s="435" t="s">
        <v>120</v>
      </c>
      <c r="B92" s="419" t="s">
        <v>121</v>
      </c>
      <c r="F92" s="896">
        <v>69</v>
      </c>
      <c r="G92" s="896">
        <v>5</v>
      </c>
      <c r="H92" s="897">
        <v>2915</v>
      </c>
      <c r="I92" s="133">
        <f t="shared" si="9"/>
        <v>2094.4275000000002</v>
      </c>
      <c r="J92" s="429"/>
      <c r="K92" s="118">
        <f t="shared" si="10"/>
        <v>5009.4274999999998</v>
      </c>
    </row>
    <row r="93" spans="1:11" ht="18" customHeight="1" x14ac:dyDescent="0.2">
      <c r="A93" s="435" t="s">
        <v>122</v>
      </c>
      <c r="B93" s="419" t="s">
        <v>123</v>
      </c>
      <c r="F93" s="101">
        <v>7</v>
      </c>
      <c r="G93" s="101">
        <v>3</v>
      </c>
      <c r="H93" s="141">
        <v>612</v>
      </c>
      <c r="I93" s="133">
        <f t="shared" si="9"/>
        <v>439.72200000000004</v>
      </c>
      <c r="J93" s="118"/>
      <c r="K93" s="118">
        <f t="shared" si="10"/>
        <v>1051.722</v>
      </c>
    </row>
    <row r="94" spans="1:11" ht="18" customHeight="1" x14ac:dyDescent="0.2">
      <c r="A94" s="435" t="s">
        <v>124</v>
      </c>
      <c r="B94" s="418"/>
      <c r="C94" s="417"/>
      <c r="D94" s="412"/>
      <c r="F94" s="101">
        <v>6879</v>
      </c>
      <c r="G94" s="101">
        <v>108</v>
      </c>
      <c r="H94" s="141">
        <v>47687</v>
      </c>
      <c r="I94" s="133">
        <f t="shared" si="9"/>
        <v>34263.109499999999</v>
      </c>
      <c r="J94" s="118"/>
      <c r="K94" s="118">
        <f t="shared" si="10"/>
        <v>81950.109499999991</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7992</v>
      </c>
      <c r="G98" s="221">
        <f t="shared" si="11"/>
        <v>3766</v>
      </c>
      <c r="H98" s="221">
        <f t="shared" si="11"/>
        <v>128066</v>
      </c>
      <c r="I98" s="221">
        <f t="shared" si="11"/>
        <v>92015.421000000002</v>
      </c>
      <c r="J98" s="221">
        <f t="shared" si="11"/>
        <v>0</v>
      </c>
      <c r="K98" s="221">
        <f t="shared" si="11"/>
        <v>220081.42099999997</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101">
        <v>90</v>
      </c>
      <c r="G102" s="101">
        <v>9</v>
      </c>
      <c r="H102" s="141">
        <v>200779</v>
      </c>
      <c r="I102" s="133">
        <f>H102*F$114</f>
        <v>144259.7115</v>
      </c>
      <c r="J102" s="118"/>
      <c r="K102" s="118">
        <f>(H102+I102)-J102</f>
        <v>345038.71149999998</v>
      </c>
    </row>
    <row r="103" spans="1:11" ht="18" customHeight="1" x14ac:dyDescent="0.2">
      <c r="A103" s="435" t="s">
        <v>132</v>
      </c>
      <c r="B103" s="465" t="s">
        <v>62</v>
      </c>
      <c r="C103" s="465"/>
      <c r="F103" s="101">
        <v>4.5</v>
      </c>
      <c r="G103" s="101">
        <v>1</v>
      </c>
      <c r="H103" s="141">
        <v>227</v>
      </c>
      <c r="I103" s="133">
        <f>H103*F$114</f>
        <v>163.09950000000001</v>
      </c>
      <c r="J103" s="118"/>
      <c r="K103" s="118">
        <f>(H103+I103)-J103</f>
        <v>390.09950000000003</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94.5</v>
      </c>
      <c r="G108" s="221">
        <f t="shared" si="12"/>
        <v>10</v>
      </c>
      <c r="H108" s="118">
        <f t="shared" si="12"/>
        <v>201006</v>
      </c>
      <c r="I108" s="118">
        <f t="shared" si="12"/>
        <v>144422.81100000002</v>
      </c>
      <c r="J108" s="118">
        <f t="shared" si="12"/>
        <v>0</v>
      </c>
      <c r="K108" s="118">
        <f t="shared" si="12"/>
        <v>345428.81099999999</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2567553</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0.71850000000000003</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121264120</v>
      </c>
    </row>
    <row r="118" spans="1:6" ht="18" customHeight="1" x14ac:dyDescent="0.2">
      <c r="A118" s="435" t="s">
        <v>173</v>
      </c>
      <c r="B118" s="259" t="s">
        <v>18</v>
      </c>
      <c r="F118" s="118">
        <v>3749503</v>
      </c>
    </row>
    <row r="119" spans="1:6" ht="18" customHeight="1" x14ac:dyDescent="0.2">
      <c r="A119" s="435" t="s">
        <v>174</v>
      </c>
      <c r="B119" s="421" t="s">
        <v>19</v>
      </c>
      <c r="F119" s="118">
        <f>SUM(F117:F118)</f>
        <v>125013623</v>
      </c>
    </row>
    <row r="120" spans="1:6" ht="18" customHeight="1" x14ac:dyDescent="0.2">
      <c r="A120" s="435"/>
      <c r="B120" s="421"/>
    </row>
    <row r="121" spans="1:6" ht="18" customHeight="1" x14ac:dyDescent="0.2">
      <c r="A121" s="435" t="s">
        <v>167</v>
      </c>
      <c r="B121" s="421" t="s">
        <v>36</v>
      </c>
      <c r="F121" s="118">
        <v>127458282</v>
      </c>
    </row>
    <row r="122" spans="1:6" ht="18" customHeight="1" x14ac:dyDescent="0.2">
      <c r="A122" s="435"/>
    </row>
    <row r="123" spans="1:6" ht="18" customHeight="1" x14ac:dyDescent="0.2">
      <c r="A123" s="435" t="s">
        <v>175</v>
      </c>
      <c r="B123" s="421" t="s">
        <v>20</v>
      </c>
      <c r="F123" s="118">
        <f>+F119-F121</f>
        <v>-2444659</v>
      </c>
    </row>
    <row r="124" spans="1:6" ht="18" customHeight="1" x14ac:dyDescent="0.2">
      <c r="A124" s="435"/>
    </row>
    <row r="125" spans="1:6" ht="18" customHeight="1" x14ac:dyDescent="0.2">
      <c r="A125" s="435" t="s">
        <v>176</v>
      </c>
      <c r="B125" s="421" t="s">
        <v>21</v>
      </c>
      <c r="F125" s="118">
        <v>3545892</v>
      </c>
    </row>
    <row r="126" spans="1:6" ht="18" customHeight="1" x14ac:dyDescent="0.2">
      <c r="A126" s="435"/>
    </row>
    <row r="127" spans="1:6" ht="18" customHeight="1" x14ac:dyDescent="0.2">
      <c r="A127" s="435" t="s">
        <v>177</v>
      </c>
      <c r="B127" s="421" t="s">
        <v>22</v>
      </c>
      <c r="F127" s="118">
        <f>+F123+F125</f>
        <v>1101233</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4543.3</v>
      </c>
      <c r="G141" s="422">
        <f t="shared" si="14"/>
        <v>23793</v>
      </c>
      <c r="H141" s="422">
        <f t="shared" si="14"/>
        <v>300512</v>
      </c>
      <c r="I141" s="422">
        <f t="shared" si="14"/>
        <v>215917.872</v>
      </c>
      <c r="J141" s="422">
        <f t="shared" si="14"/>
        <v>1822</v>
      </c>
      <c r="K141" s="422">
        <f t="shared" si="14"/>
        <v>514607.87199999997</v>
      </c>
    </row>
    <row r="142" spans="1:11" ht="18" customHeight="1" x14ac:dyDescent="0.2">
      <c r="A142" s="435" t="s">
        <v>142</v>
      </c>
      <c r="B142" s="421" t="s">
        <v>65</v>
      </c>
      <c r="F142" s="422">
        <f t="shared" ref="F142:K142" si="15">F49</f>
        <v>9725</v>
      </c>
      <c r="G142" s="422">
        <f t="shared" si="15"/>
        <v>3460</v>
      </c>
      <c r="H142" s="422">
        <f t="shared" si="15"/>
        <v>351658</v>
      </c>
      <c r="I142" s="422">
        <f t="shared" si="15"/>
        <v>0</v>
      </c>
      <c r="J142" s="422">
        <f t="shared" si="15"/>
        <v>1400</v>
      </c>
      <c r="K142" s="422">
        <f t="shared" si="15"/>
        <v>350258</v>
      </c>
    </row>
    <row r="143" spans="1:11" ht="18" customHeight="1" x14ac:dyDescent="0.2">
      <c r="A143" s="435" t="s">
        <v>144</v>
      </c>
      <c r="B143" s="421" t="s">
        <v>66</v>
      </c>
      <c r="F143" s="422">
        <f t="shared" ref="F143:K143" si="16">F64</f>
        <v>129</v>
      </c>
      <c r="G143" s="422">
        <f t="shared" si="16"/>
        <v>590</v>
      </c>
      <c r="H143" s="422">
        <f t="shared" si="16"/>
        <v>9003128</v>
      </c>
      <c r="I143" s="422">
        <f t="shared" si="16"/>
        <v>0</v>
      </c>
      <c r="J143" s="422">
        <f t="shared" si="16"/>
        <v>37</v>
      </c>
      <c r="K143" s="422">
        <f t="shared" si="16"/>
        <v>9003091</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79.5</v>
      </c>
      <c r="G145" s="422">
        <f t="shared" si="18"/>
        <v>2619</v>
      </c>
      <c r="H145" s="422">
        <f t="shared" si="18"/>
        <v>34319</v>
      </c>
      <c r="I145" s="422">
        <f t="shared" si="18"/>
        <v>0</v>
      </c>
      <c r="J145" s="422">
        <f t="shared" si="18"/>
        <v>0</v>
      </c>
      <c r="K145" s="422">
        <f t="shared" si="18"/>
        <v>34319</v>
      </c>
    </row>
    <row r="146" spans="1:11" ht="18" customHeight="1" x14ac:dyDescent="0.2">
      <c r="A146" s="435" t="s">
        <v>150</v>
      </c>
      <c r="B146" s="421" t="s">
        <v>69</v>
      </c>
      <c r="F146" s="422">
        <f t="shared" ref="F146:K146" si="19">F98</f>
        <v>7992</v>
      </c>
      <c r="G146" s="422">
        <f t="shared" si="19"/>
        <v>3766</v>
      </c>
      <c r="H146" s="422">
        <f t="shared" si="19"/>
        <v>128066</v>
      </c>
      <c r="I146" s="422">
        <f t="shared" si="19"/>
        <v>92015.421000000002</v>
      </c>
      <c r="J146" s="422">
        <f t="shared" si="19"/>
        <v>0</v>
      </c>
      <c r="K146" s="422">
        <f t="shared" si="19"/>
        <v>220081.42099999997</v>
      </c>
    </row>
    <row r="147" spans="1:11" ht="18" customHeight="1" x14ac:dyDescent="0.2">
      <c r="A147" s="435" t="s">
        <v>153</v>
      </c>
      <c r="B147" s="421" t="s">
        <v>61</v>
      </c>
      <c r="F147" s="221">
        <f t="shared" ref="F147:K147" si="20">F108</f>
        <v>94.5</v>
      </c>
      <c r="G147" s="221">
        <f t="shared" si="20"/>
        <v>10</v>
      </c>
      <c r="H147" s="221">
        <f t="shared" si="20"/>
        <v>201006</v>
      </c>
      <c r="I147" s="221">
        <f t="shared" si="20"/>
        <v>144422.81100000002</v>
      </c>
      <c r="J147" s="221">
        <f t="shared" si="20"/>
        <v>0</v>
      </c>
      <c r="K147" s="221">
        <f t="shared" si="20"/>
        <v>345428.81099999999</v>
      </c>
    </row>
    <row r="148" spans="1:11" ht="18" customHeight="1" x14ac:dyDescent="0.2">
      <c r="A148" s="435" t="s">
        <v>155</v>
      </c>
      <c r="B148" s="421" t="s">
        <v>70</v>
      </c>
      <c r="F148" s="485" t="s">
        <v>73</v>
      </c>
      <c r="G148" s="485" t="s">
        <v>73</v>
      </c>
      <c r="H148" s="486" t="s">
        <v>73</v>
      </c>
      <c r="I148" s="486" t="s">
        <v>73</v>
      </c>
      <c r="J148" s="486" t="s">
        <v>73</v>
      </c>
      <c r="K148" s="423">
        <f>F111</f>
        <v>2567553</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2363471.13</v>
      </c>
      <c r="I150" s="221">
        <f>I18</f>
        <v>0</v>
      </c>
      <c r="J150" s="221">
        <f>J18</f>
        <v>1997599.49</v>
      </c>
      <c r="K150" s="221">
        <f>K18</f>
        <v>365871.6399999999</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22563.3</v>
      </c>
      <c r="G152" s="487">
        <f t="shared" si="22"/>
        <v>34238</v>
      </c>
      <c r="H152" s="487">
        <f t="shared" si="22"/>
        <v>12382160.129999999</v>
      </c>
      <c r="I152" s="487">
        <f t="shared" si="22"/>
        <v>452356.10400000005</v>
      </c>
      <c r="J152" s="487">
        <f t="shared" si="22"/>
        <v>2000858.49</v>
      </c>
      <c r="K152" s="487">
        <f t="shared" si="22"/>
        <v>13401210.744000001</v>
      </c>
    </row>
    <row r="154" spans="1:11" ht="18" customHeight="1" x14ac:dyDescent="0.2">
      <c r="A154" s="455" t="s">
        <v>168</v>
      </c>
      <c r="B154" s="421" t="s">
        <v>28</v>
      </c>
      <c r="F154" s="140">
        <f>K152/F121</f>
        <v>0.10514193768907069</v>
      </c>
    </row>
    <row r="155" spans="1:11" ht="18" customHeight="1" x14ac:dyDescent="0.2">
      <c r="A155" s="455" t="s">
        <v>169</v>
      </c>
      <c r="B155" s="421" t="s">
        <v>72</v>
      </c>
      <c r="F155" s="140">
        <f>K152/F127</f>
        <v>12.169278203613587</v>
      </c>
      <c r="G155" s="421"/>
    </row>
    <row r="156" spans="1:11" ht="18" customHeight="1" x14ac:dyDescent="0.2">
      <c r="G156" s="421"/>
    </row>
  </sheetData>
  <sheetProtection algorithmName="SHA-512" hashValue="QaIJC/r9yUvh48XY80fdV8NqJ60HJL9xendDCcC+Fiofu+wvPbDWQE+0nHwyxDhSdGZ9c9u+aGcJb6uqBCakXQ==" saltValue="oXQvbC9V/Fljbi6aA25KUw==" spinCount="100000" sheet="1" objects="1" scenarios="1"/>
  <mergeCells count="34">
    <mergeCell ref="B62:D62"/>
    <mergeCell ref="B31:D31"/>
    <mergeCell ref="B30:D30"/>
    <mergeCell ref="C5:G5"/>
    <mergeCell ref="C6:G6"/>
    <mergeCell ref="C7:G7"/>
    <mergeCell ref="C11:G11"/>
    <mergeCell ref="C9:G9"/>
    <mergeCell ref="B45:D45"/>
    <mergeCell ref="B46:D46"/>
    <mergeCell ref="B47:D47"/>
    <mergeCell ref="B44:D44"/>
    <mergeCell ref="B57:D57"/>
    <mergeCell ref="B135:D135"/>
    <mergeCell ref="B133:D133"/>
    <mergeCell ref="B104:D104"/>
    <mergeCell ref="B105:D105"/>
    <mergeCell ref="B106:D106"/>
    <mergeCell ref="D2:H2"/>
    <mergeCell ref="B34:D34"/>
    <mergeCell ref="B41:C41"/>
    <mergeCell ref="B13:H13"/>
    <mergeCell ref="B134:D134"/>
    <mergeCell ref="B103:C103"/>
    <mergeCell ref="B96:D96"/>
    <mergeCell ref="B94:D94"/>
    <mergeCell ref="B52:C52"/>
    <mergeCell ref="B90:C90"/>
    <mergeCell ref="B59:D59"/>
    <mergeCell ref="B53:D53"/>
    <mergeCell ref="B55:D55"/>
    <mergeCell ref="B56:D56"/>
    <mergeCell ref="B95:D95"/>
    <mergeCell ref="C10:G1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156"/>
  <sheetViews>
    <sheetView showGridLines="0" zoomScale="80" zoomScaleNormal="80" zoomScaleSheetLayoutView="10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690</v>
      </c>
      <c r="D5" s="437"/>
      <c r="E5" s="437"/>
      <c r="F5" s="437"/>
      <c r="G5" s="438"/>
    </row>
    <row r="6" spans="1:11" ht="18" customHeight="1" x14ac:dyDescent="0.2">
      <c r="B6" s="435" t="s">
        <v>3</v>
      </c>
      <c r="C6" s="439">
        <v>210062</v>
      </c>
      <c r="D6" s="440"/>
      <c r="E6" s="440"/>
      <c r="F6" s="440"/>
      <c r="G6" s="441"/>
    </row>
    <row r="7" spans="1:11" ht="18" customHeight="1" x14ac:dyDescent="0.2">
      <c r="B7" s="435" t="s">
        <v>4</v>
      </c>
      <c r="C7" s="492">
        <v>1221</v>
      </c>
      <c r="D7" s="493"/>
      <c r="E7" s="493"/>
      <c r="F7" s="493"/>
      <c r="G7" s="494"/>
    </row>
    <row r="9" spans="1:11" ht="18" customHeight="1" x14ac:dyDescent="0.2">
      <c r="B9" s="435" t="s">
        <v>1</v>
      </c>
      <c r="C9" s="436" t="s">
        <v>500</v>
      </c>
      <c r="D9" s="437"/>
      <c r="E9" s="437"/>
      <c r="F9" s="437"/>
      <c r="G9" s="438"/>
    </row>
    <row r="10" spans="1:11" ht="18" customHeight="1" x14ac:dyDescent="0.2">
      <c r="B10" s="435" t="s">
        <v>2</v>
      </c>
      <c r="C10" s="445" t="s">
        <v>501</v>
      </c>
      <c r="D10" s="446"/>
      <c r="E10" s="446"/>
      <c r="F10" s="446"/>
      <c r="G10" s="447"/>
    </row>
    <row r="11" spans="1:11" ht="18" customHeight="1" x14ac:dyDescent="0.2">
      <c r="B11" s="435" t="s">
        <v>32</v>
      </c>
      <c r="C11" s="495" t="s">
        <v>691</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5831912</v>
      </c>
      <c r="I18" s="133"/>
      <c r="J18" s="118">
        <v>4929116</v>
      </c>
      <c r="K18" s="118">
        <f>(H18+I18)-J18</f>
        <v>902796</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1819</v>
      </c>
      <c r="G21" s="221">
        <v>16890</v>
      </c>
      <c r="H21" s="118">
        <v>142257</v>
      </c>
      <c r="I21" s="133">
        <v>12973</v>
      </c>
      <c r="J21" s="118"/>
      <c r="K21" s="118">
        <f t="shared" ref="K21:K34" si="0">(H21+I21)-J21</f>
        <v>155230</v>
      </c>
    </row>
    <row r="22" spans="1:11" ht="18" customHeight="1" x14ac:dyDescent="0.2">
      <c r="A22" s="435" t="s">
        <v>76</v>
      </c>
      <c r="B22" s="259" t="s">
        <v>6</v>
      </c>
      <c r="F22" s="221"/>
      <c r="G22" s="221"/>
      <c r="H22" s="118"/>
      <c r="I22" s="133">
        <f t="shared" ref="I22:I34" si="1">H22*F$114</f>
        <v>0</v>
      </c>
      <c r="J22" s="118"/>
      <c r="K22" s="118">
        <f t="shared" si="0"/>
        <v>0</v>
      </c>
    </row>
    <row r="23" spans="1:11" ht="18" customHeight="1" x14ac:dyDescent="0.2">
      <c r="A23" s="435" t="s">
        <v>77</v>
      </c>
      <c r="B23" s="259" t="s">
        <v>43</v>
      </c>
      <c r="F23" s="221"/>
      <c r="G23" s="221"/>
      <c r="H23" s="118"/>
      <c r="I23" s="133">
        <f t="shared" si="1"/>
        <v>0</v>
      </c>
      <c r="J23" s="118"/>
      <c r="K23" s="118">
        <f t="shared" si="0"/>
        <v>0</v>
      </c>
    </row>
    <row r="24" spans="1:11" ht="18" customHeight="1" x14ac:dyDescent="0.2">
      <c r="A24" s="435" t="s">
        <v>78</v>
      </c>
      <c r="B24" s="259" t="s">
        <v>44</v>
      </c>
      <c r="F24" s="221">
        <v>74</v>
      </c>
      <c r="G24" s="221">
        <v>1007</v>
      </c>
      <c r="H24" s="118">
        <v>9453</v>
      </c>
      <c r="I24" s="133">
        <v>7321</v>
      </c>
      <c r="J24" s="118"/>
      <c r="K24" s="118">
        <f t="shared" si="0"/>
        <v>16774</v>
      </c>
    </row>
    <row r="25" spans="1:11" ht="18" customHeight="1" x14ac:dyDescent="0.2">
      <c r="A25" s="435" t="s">
        <v>79</v>
      </c>
      <c r="B25" s="259" t="s">
        <v>5</v>
      </c>
      <c r="F25" s="221"/>
      <c r="G25" s="221"/>
      <c r="H25" s="118"/>
      <c r="I25" s="133">
        <f t="shared" si="1"/>
        <v>0</v>
      </c>
      <c r="J25" s="118"/>
      <c r="K25" s="118">
        <f t="shared" si="0"/>
        <v>0</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4004</v>
      </c>
      <c r="G29" s="221">
        <v>1460</v>
      </c>
      <c r="H29" s="118">
        <v>279618</v>
      </c>
      <c r="I29" s="133">
        <v>114773</v>
      </c>
      <c r="J29" s="118"/>
      <c r="K29" s="118">
        <f t="shared" si="0"/>
        <v>394391</v>
      </c>
    </row>
    <row r="30" spans="1:11" ht="18" customHeight="1" x14ac:dyDescent="0.2">
      <c r="A30" s="435" t="s">
        <v>84</v>
      </c>
      <c r="B30" s="456" t="s">
        <v>521</v>
      </c>
      <c r="C30" s="457"/>
      <c r="D30" s="458"/>
      <c r="F30" s="221">
        <v>116</v>
      </c>
      <c r="G30" s="221">
        <v>874</v>
      </c>
      <c r="H30" s="118">
        <v>8096</v>
      </c>
      <c r="I30" s="133">
        <v>7796</v>
      </c>
      <c r="J30" s="118"/>
      <c r="K30" s="118">
        <f t="shared" si="0"/>
        <v>15892</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6013</v>
      </c>
      <c r="G36" s="221">
        <f t="shared" si="2"/>
        <v>20231</v>
      </c>
      <c r="H36" s="221">
        <f t="shared" si="2"/>
        <v>439424</v>
      </c>
      <c r="I36" s="118">
        <f t="shared" si="2"/>
        <v>142863</v>
      </c>
      <c r="J36" s="118">
        <f t="shared" si="2"/>
        <v>0</v>
      </c>
      <c r="K36" s="118">
        <f t="shared" si="2"/>
        <v>582287</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23880</v>
      </c>
      <c r="G41" s="221">
        <v>360</v>
      </c>
      <c r="H41" s="118">
        <v>1028718</v>
      </c>
      <c r="I41" s="133">
        <v>990654</v>
      </c>
      <c r="J41" s="118"/>
      <c r="K41" s="118">
        <f t="shared" si="3"/>
        <v>2019372</v>
      </c>
    </row>
    <row r="42" spans="1:11" ht="18" customHeight="1" x14ac:dyDescent="0.2">
      <c r="A42" s="435" t="s">
        <v>89</v>
      </c>
      <c r="B42" s="419" t="s">
        <v>11</v>
      </c>
      <c r="F42" s="221">
        <v>3359</v>
      </c>
      <c r="G42" s="221">
        <v>24</v>
      </c>
      <c r="H42" s="118">
        <v>133607</v>
      </c>
      <c r="I42" s="133">
        <v>128663</v>
      </c>
      <c r="J42" s="118"/>
      <c r="K42" s="118">
        <f t="shared" si="3"/>
        <v>262270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27239</v>
      </c>
      <c r="G49" s="409">
        <f t="shared" si="4"/>
        <v>384</v>
      </c>
      <c r="H49" s="118">
        <f t="shared" si="4"/>
        <v>1162325</v>
      </c>
      <c r="I49" s="118">
        <f t="shared" si="4"/>
        <v>1119317</v>
      </c>
      <c r="J49" s="118">
        <f t="shared" si="4"/>
        <v>0</v>
      </c>
      <c r="K49" s="118">
        <f t="shared" si="4"/>
        <v>2281642</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692</v>
      </c>
      <c r="C53" s="411"/>
      <c r="D53" s="412"/>
      <c r="F53" s="221"/>
      <c r="G53" s="221">
        <v>281</v>
      </c>
      <c r="H53" s="118">
        <v>1179843</v>
      </c>
      <c r="I53" s="133">
        <v>0</v>
      </c>
      <c r="J53" s="118"/>
      <c r="K53" s="141">
        <f>H53+I53-J53</f>
        <v>1179843</v>
      </c>
    </row>
    <row r="54" spans="1:11" ht="18" customHeight="1" x14ac:dyDescent="0.2">
      <c r="A54" s="435" t="s">
        <v>93</v>
      </c>
      <c r="B54" s="420" t="s">
        <v>325</v>
      </c>
      <c r="C54" s="414"/>
      <c r="D54" s="415"/>
      <c r="F54" s="221"/>
      <c r="G54" s="221">
        <v>21790</v>
      </c>
      <c r="H54" s="118">
        <v>5031633</v>
      </c>
      <c r="I54" s="133">
        <v>0</v>
      </c>
      <c r="J54" s="118"/>
      <c r="K54" s="141">
        <f t="shared" ref="K54:K62" si="5">H54+I54-J54</f>
        <v>5031633</v>
      </c>
    </row>
    <row r="55" spans="1:11" ht="18" customHeight="1" x14ac:dyDescent="0.2">
      <c r="A55" s="435" t="s">
        <v>94</v>
      </c>
      <c r="B55" s="418" t="s">
        <v>326</v>
      </c>
      <c r="C55" s="417"/>
      <c r="D55" s="412"/>
      <c r="F55" s="221"/>
      <c r="G55" s="221">
        <v>1548</v>
      </c>
      <c r="H55" s="118">
        <v>1723796</v>
      </c>
      <c r="I55" s="133">
        <v>0</v>
      </c>
      <c r="J55" s="118">
        <v>20629</v>
      </c>
      <c r="K55" s="141">
        <f t="shared" si="5"/>
        <v>1703167</v>
      </c>
    </row>
    <row r="56" spans="1:11" ht="18" customHeight="1" x14ac:dyDescent="0.2">
      <c r="A56" s="435" t="s">
        <v>95</v>
      </c>
      <c r="B56" s="418" t="s">
        <v>693</v>
      </c>
      <c r="C56" s="417"/>
      <c r="D56" s="412"/>
      <c r="F56" s="221"/>
      <c r="G56" s="221">
        <v>1579</v>
      </c>
      <c r="H56" s="118">
        <v>653900</v>
      </c>
      <c r="I56" s="133">
        <v>0</v>
      </c>
      <c r="J56" s="118"/>
      <c r="K56" s="141">
        <f t="shared" si="5"/>
        <v>653900</v>
      </c>
    </row>
    <row r="57" spans="1:11" ht="18" customHeight="1" x14ac:dyDescent="0.2">
      <c r="A57" s="435" t="s">
        <v>96</v>
      </c>
      <c r="B57" s="418"/>
      <c r="C57" s="417"/>
      <c r="D57" s="412"/>
      <c r="F57" s="221"/>
      <c r="G57" s="221"/>
      <c r="H57" s="118"/>
      <c r="I57" s="133">
        <v>0</v>
      </c>
      <c r="J57" s="118"/>
      <c r="K57" s="141">
        <f t="shared" si="5"/>
        <v>0</v>
      </c>
    </row>
    <row r="58" spans="1:11" ht="18" customHeight="1" x14ac:dyDescent="0.2">
      <c r="A58" s="435" t="s">
        <v>97</v>
      </c>
      <c r="B58" s="420"/>
      <c r="C58" s="414"/>
      <c r="D58" s="415"/>
      <c r="F58" s="221"/>
      <c r="G58" s="221"/>
      <c r="H58" s="118"/>
      <c r="I58" s="133">
        <v>0</v>
      </c>
      <c r="J58" s="118"/>
      <c r="K58" s="141">
        <f t="shared" si="5"/>
        <v>0</v>
      </c>
    </row>
    <row r="59" spans="1:11" ht="18" customHeight="1" x14ac:dyDescent="0.2">
      <c r="A59" s="435" t="s">
        <v>98</v>
      </c>
      <c r="B59" s="418"/>
      <c r="C59" s="417"/>
      <c r="D59" s="412"/>
      <c r="F59" s="221"/>
      <c r="G59" s="221"/>
      <c r="H59" s="118"/>
      <c r="I59" s="133">
        <v>0</v>
      </c>
      <c r="J59" s="118"/>
      <c r="K59" s="141">
        <f t="shared" si="5"/>
        <v>0</v>
      </c>
    </row>
    <row r="60" spans="1:11" ht="18" customHeight="1" x14ac:dyDescent="0.2">
      <c r="A60" s="435" t="s">
        <v>99</v>
      </c>
      <c r="B60" s="420"/>
      <c r="C60" s="414"/>
      <c r="D60" s="415"/>
      <c r="F60" s="221"/>
      <c r="G60" s="221"/>
      <c r="H60" s="118"/>
      <c r="I60" s="133">
        <v>0</v>
      </c>
      <c r="J60" s="118"/>
      <c r="K60" s="141">
        <f t="shared" si="5"/>
        <v>0</v>
      </c>
    </row>
    <row r="61" spans="1:11" ht="18" customHeight="1" x14ac:dyDescent="0.2">
      <c r="A61" s="435" t="s">
        <v>100</v>
      </c>
      <c r="B61" s="420"/>
      <c r="C61" s="414"/>
      <c r="D61" s="415"/>
      <c r="F61" s="221"/>
      <c r="G61" s="221"/>
      <c r="H61" s="118"/>
      <c r="I61" s="133">
        <v>0</v>
      </c>
      <c r="J61" s="118"/>
      <c r="K61" s="141">
        <f t="shared" si="5"/>
        <v>0</v>
      </c>
    </row>
    <row r="62" spans="1:11" ht="18" customHeight="1" x14ac:dyDescent="0.2">
      <c r="A62" s="435" t="s">
        <v>101</v>
      </c>
      <c r="B62" s="418"/>
      <c r="C62" s="417"/>
      <c r="D62" s="412"/>
      <c r="F62" s="221"/>
      <c r="G62" s="221"/>
      <c r="H62" s="118"/>
      <c r="I62" s="133">
        <v>0</v>
      </c>
      <c r="J62" s="118"/>
      <c r="K62" s="141">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25198</v>
      </c>
      <c r="H64" s="118">
        <f t="shared" si="6"/>
        <v>8589172</v>
      </c>
      <c r="I64" s="118">
        <f t="shared" si="6"/>
        <v>0</v>
      </c>
      <c r="J64" s="118">
        <f t="shared" si="6"/>
        <v>20629</v>
      </c>
      <c r="K64" s="118">
        <f t="shared" si="6"/>
        <v>8568543</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39418</v>
      </c>
      <c r="I77" s="133">
        <v>0</v>
      </c>
      <c r="J77" s="118"/>
      <c r="K77" s="118">
        <f>(H77+I77)-J77</f>
        <v>39418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39418</v>
      </c>
      <c r="I82" s="118">
        <f t="shared" si="8"/>
        <v>0</v>
      </c>
      <c r="J82" s="118">
        <f t="shared" si="8"/>
        <v>0</v>
      </c>
      <c r="K82" s="118">
        <f t="shared" si="8"/>
        <v>39418</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v>28935</v>
      </c>
      <c r="I92" s="133">
        <v>0</v>
      </c>
      <c r="J92" s="429"/>
      <c r="K92" s="118">
        <f t="shared" si="10"/>
        <v>28935</v>
      </c>
    </row>
    <row r="93" spans="1:11" ht="18" customHeight="1" x14ac:dyDescent="0.2">
      <c r="A93" s="435" t="s">
        <v>122</v>
      </c>
      <c r="B93" s="419" t="s">
        <v>123</v>
      </c>
      <c r="F93" s="221">
        <v>2722</v>
      </c>
      <c r="G93" s="221">
        <v>601</v>
      </c>
      <c r="H93" s="118">
        <v>59982</v>
      </c>
      <c r="I93" s="133">
        <v>57762</v>
      </c>
      <c r="J93" s="118"/>
      <c r="K93" s="118">
        <f t="shared" si="10"/>
        <v>117744</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2722</v>
      </c>
      <c r="G98" s="221">
        <f t="shared" si="11"/>
        <v>601</v>
      </c>
      <c r="H98" s="221">
        <f t="shared" si="11"/>
        <v>88917</v>
      </c>
      <c r="I98" s="221">
        <f t="shared" si="11"/>
        <v>57762</v>
      </c>
      <c r="J98" s="221">
        <f t="shared" si="11"/>
        <v>0</v>
      </c>
      <c r="K98" s="221">
        <f t="shared" si="11"/>
        <v>146679</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8160</v>
      </c>
      <c r="G102" s="221"/>
      <c r="H102" s="118">
        <v>384334</v>
      </c>
      <c r="I102" s="133">
        <v>297418</v>
      </c>
      <c r="J102" s="118"/>
      <c r="K102" s="118">
        <f>(H102+I102)-J102</f>
        <v>681752</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t="s">
        <v>327</v>
      </c>
      <c r="C104" s="417"/>
      <c r="D104" s="412"/>
      <c r="F104" s="221">
        <v>52</v>
      </c>
      <c r="G104" s="221"/>
      <c r="H104" s="118">
        <v>2038</v>
      </c>
      <c r="I104" s="133">
        <v>1963</v>
      </c>
      <c r="J104" s="118"/>
      <c r="K104" s="118">
        <f>(H104+I104)-J104</f>
        <v>4001</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8212</v>
      </c>
      <c r="G108" s="221">
        <f t="shared" si="12"/>
        <v>0</v>
      </c>
      <c r="H108" s="118">
        <f t="shared" si="12"/>
        <v>386372</v>
      </c>
      <c r="I108" s="118">
        <f t="shared" si="12"/>
        <v>299381</v>
      </c>
      <c r="J108" s="118">
        <f t="shared" si="12"/>
        <v>0</v>
      </c>
      <c r="K108" s="118">
        <f t="shared" si="12"/>
        <v>685753</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4843585</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0.96299999999999997</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03">
        <v>236025488</v>
      </c>
    </row>
    <row r="118" spans="1:6" ht="18" customHeight="1" x14ac:dyDescent="0.2">
      <c r="A118" s="435" t="s">
        <v>173</v>
      </c>
      <c r="B118" s="259" t="s">
        <v>18</v>
      </c>
      <c r="F118" s="103">
        <v>1444346</v>
      </c>
    </row>
    <row r="119" spans="1:6" ht="18" customHeight="1" x14ac:dyDescent="0.2">
      <c r="A119" s="435" t="s">
        <v>174</v>
      </c>
      <c r="B119" s="421" t="s">
        <v>19</v>
      </c>
      <c r="F119" s="103">
        <f>SUM(F117:F118)</f>
        <v>237469834</v>
      </c>
    </row>
    <row r="120" spans="1:6" ht="18" customHeight="1" x14ac:dyDescent="0.2">
      <c r="A120" s="435"/>
      <c r="B120" s="421"/>
    </row>
    <row r="121" spans="1:6" ht="18" customHeight="1" x14ac:dyDescent="0.2">
      <c r="A121" s="435" t="s">
        <v>167</v>
      </c>
      <c r="B121" s="421" t="s">
        <v>36</v>
      </c>
      <c r="F121" s="103">
        <v>247677692</v>
      </c>
    </row>
    <row r="122" spans="1:6" ht="18" customHeight="1" x14ac:dyDescent="0.2">
      <c r="A122" s="435"/>
    </row>
    <row r="123" spans="1:6" ht="18" customHeight="1" x14ac:dyDescent="0.2">
      <c r="A123" s="435" t="s">
        <v>175</v>
      </c>
      <c r="B123" s="421" t="s">
        <v>20</v>
      </c>
      <c r="F123" s="103">
        <f>+F119-F121</f>
        <v>-10207858</v>
      </c>
    </row>
    <row r="124" spans="1:6" ht="18" customHeight="1" x14ac:dyDescent="0.2">
      <c r="A124" s="435"/>
      <c r="F124" s="261"/>
    </row>
    <row r="125" spans="1:6" ht="18" customHeight="1" x14ac:dyDescent="0.2">
      <c r="A125" s="435" t="s">
        <v>176</v>
      </c>
      <c r="B125" s="421" t="s">
        <v>21</v>
      </c>
      <c r="F125" s="103">
        <v>35871</v>
      </c>
    </row>
    <row r="126" spans="1:6" ht="18" customHeight="1" x14ac:dyDescent="0.2">
      <c r="A126" s="435"/>
      <c r="F126" s="261"/>
    </row>
    <row r="127" spans="1:6" ht="18" customHeight="1" x14ac:dyDescent="0.2">
      <c r="A127" s="435" t="s">
        <v>177</v>
      </c>
      <c r="B127" s="421" t="s">
        <v>22</v>
      </c>
      <c r="F127" s="103">
        <f>+F125+F123-1</f>
        <v>-10171988</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6013</v>
      </c>
      <c r="G141" s="422">
        <f t="shared" si="14"/>
        <v>20231</v>
      </c>
      <c r="H141" s="422">
        <f t="shared" si="14"/>
        <v>439424</v>
      </c>
      <c r="I141" s="422">
        <f t="shared" si="14"/>
        <v>142863</v>
      </c>
      <c r="J141" s="422">
        <f t="shared" si="14"/>
        <v>0</v>
      </c>
      <c r="K141" s="422">
        <f t="shared" si="14"/>
        <v>582287</v>
      </c>
    </row>
    <row r="142" spans="1:11" ht="18" customHeight="1" x14ac:dyDescent="0.2">
      <c r="A142" s="435" t="s">
        <v>142</v>
      </c>
      <c r="B142" s="421" t="s">
        <v>65</v>
      </c>
      <c r="F142" s="422">
        <f t="shared" ref="F142:K142" si="15">F49</f>
        <v>27239</v>
      </c>
      <c r="G142" s="422">
        <f t="shared" si="15"/>
        <v>384</v>
      </c>
      <c r="H142" s="422">
        <f t="shared" si="15"/>
        <v>1162325</v>
      </c>
      <c r="I142" s="422">
        <f t="shared" si="15"/>
        <v>1119317</v>
      </c>
      <c r="J142" s="422">
        <f t="shared" si="15"/>
        <v>0</v>
      </c>
      <c r="K142" s="422">
        <f t="shared" si="15"/>
        <v>2281642</v>
      </c>
    </row>
    <row r="143" spans="1:11" ht="18" customHeight="1" x14ac:dyDescent="0.2">
      <c r="A143" s="435" t="s">
        <v>144</v>
      </c>
      <c r="B143" s="421" t="s">
        <v>66</v>
      </c>
      <c r="F143" s="422">
        <f t="shared" ref="F143:K143" si="16">F64</f>
        <v>0</v>
      </c>
      <c r="G143" s="422">
        <f t="shared" si="16"/>
        <v>25198</v>
      </c>
      <c r="H143" s="422">
        <f t="shared" si="16"/>
        <v>8589172</v>
      </c>
      <c r="I143" s="422">
        <f t="shared" si="16"/>
        <v>0</v>
      </c>
      <c r="J143" s="422">
        <f t="shared" si="16"/>
        <v>20629</v>
      </c>
      <c r="K143" s="422">
        <f t="shared" si="16"/>
        <v>8568543</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0</v>
      </c>
      <c r="G145" s="422">
        <f t="shared" si="18"/>
        <v>0</v>
      </c>
      <c r="H145" s="422">
        <f t="shared" si="18"/>
        <v>39418</v>
      </c>
      <c r="I145" s="422">
        <f t="shared" si="18"/>
        <v>0</v>
      </c>
      <c r="J145" s="422">
        <f t="shared" si="18"/>
        <v>0</v>
      </c>
      <c r="K145" s="422">
        <f t="shared" si="18"/>
        <v>39418</v>
      </c>
    </row>
    <row r="146" spans="1:11" ht="18" customHeight="1" x14ac:dyDescent="0.2">
      <c r="A146" s="435" t="s">
        <v>150</v>
      </c>
      <c r="B146" s="421" t="s">
        <v>69</v>
      </c>
      <c r="F146" s="422">
        <f t="shared" ref="F146:K146" si="19">F98</f>
        <v>2722</v>
      </c>
      <c r="G146" s="422">
        <f t="shared" si="19"/>
        <v>601</v>
      </c>
      <c r="H146" s="422">
        <f t="shared" si="19"/>
        <v>88917</v>
      </c>
      <c r="I146" s="422">
        <f t="shared" si="19"/>
        <v>57762</v>
      </c>
      <c r="J146" s="422">
        <f t="shared" si="19"/>
        <v>0</v>
      </c>
      <c r="K146" s="422">
        <f t="shared" si="19"/>
        <v>146679</v>
      </c>
    </row>
    <row r="147" spans="1:11" ht="18" customHeight="1" x14ac:dyDescent="0.2">
      <c r="A147" s="435" t="s">
        <v>153</v>
      </c>
      <c r="B147" s="421" t="s">
        <v>61</v>
      </c>
      <c r="F147" s="221">
        <f t="shared" ref="F147:K147" si="20">F108</f>
        <v>8212</v>
      </c>
      <c r="G147" s="221">
        <f t="shared" si="20"/>
        <v>0</v>
      </c>
      <c r="H147" s="221">
        <f t="shared" si="20"/>
        <v>386372</v>
      </c>
      <c r="I147" s="221">
        <f t="shared" si="20"/>
        <v>299381</v>
      </c>
      <c r="J147" s="221">
        <f t="shared" si="20"/>
        <v>0</v>
      </c>
      <c r="K147" s="221">
        <f t="shared" si="20"/>
        <v>685753</v>
      </c>
    </row>
    <row r="148" spans="1:11" ht="18" customHeight="1" x14ac:dyDescent="0.2">
      <c r="A148" s="435" t="s">
        <v>155</v>
      </c>
      <c r="B148" s="421" t="s">
        <v>70</v>
      </c>
      <c r="F148" s="485" t="s">
        <v>73</v>
      </c>
      <c r="G148" s="485" t="s">
        <v>73</v>
      </c>
      <c r="H148" s="486" t="s">
        <v>73</v>
      </c>
      <c r="I148" s="486" t="s">
        <v>73</v>
      </c>
      <c r="J148" s="486" t="s">
        <v>73</v>
      </c>
      <c r="K148" s="423">
        <f>F111</f>
        <v>4843585</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5831912</v>
      </c>
      <c r="I150" s="221">
        <f>I18</f>
        <v>0</v>
      </c>
      <c r="J150" s="221">
        <f>J18</f>
        <v>4929116</v>
      </c>
      <c r="K150" s="221">
        <f>K18</f>
        <v>902796</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44186</v>
      </c>
      <c r="G152" s="487">
        <f t="shared" si="22"/>
        <v>46414</v>
      </c>
      <c r="H152" s="487">
        <f t="shared" si="22"/>
        <v>16537540</v>
      </c>
      <c r="I152" s="487">
        <f t="shared" si="22"/>
        <v>1619323</v>
      </c>
      <c r="J152" s="487">
        <f t="shared" si="22"/>
        <v>4949745</v>
      </c>
      <c r="K152" s="487">
        <f t="shared" si="22"/>
        <v>18050703</v>
      </c>
    </row>
    <row r="154" spans="1:11" ht="18" customHeight="1" x14ac:dyDescent="0.2">
      <c r="A154" s="455" t="s">
        <v>168</v>
      </c>
      <c r="B154" s="421" t="s">
        <v>28</v>
      </c>
      <c r="F154" s="140">
        <f>K152/F121</f>
        <v>7.2879809458172767E-2</v>
      </c>
    </row>
    <row r="155" spans="1:11" ht="18" customHeight="1" x14ac:dyDescent="0.2">
      <c r="A155" s="455" t="s">
        <v>169</v>
      </c>
      <c r="B155" s="421" t="s">
        <v>72</v>
      </c>
      <c r="F155" s="140">
        <f>K152/F127</f>
        <v>-1.7745501665947698</v>
      </c>
      <c r="G155" s="421"/>
    </row>
    <row r="156" spans="1:11" ht="18" customHeight="1" x14ac:dyDescent="0.2">
      <c r="G156" s="421"/>
    </row>
  </sheetData>
  <sheetProtection algorithmName="SHA-512" hashValue="e35Q+t/WuDQROFZYzVv04qOKppvX/ieIdtyuhlgWLwXQ/4GbQNi08lA94AvxbhFhsRc5e6F22kFK6sPz0RZBWg==" saltValue="HybQbTU9zAuPymHDubavFw==" spinCount="100000" sheet="1" objects="1" scenarios="1"/>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0"/>
    <pageSetUpPr fitToPage="1"/>
  </sheetPr>
  <dimension ref="A1:K156"/>
  <sheetViews>
    <sheetView zoomScale="85" zoomScaleNormal="85" workbookViewId="0"/>
  </sheetViews>
  <sheetFormatPr defaultRowHeight="12.75"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4" spans="1:11" ht="18" customHeight="1" x14ac:dyDescent="0.2"/>
    <row r="5" spans="1:11" ht="18" customHeight="1" x14ac:dyDescent="0.2">
      <c r="B5" s="435" t="s">
        <v>40</v>
      </c>
      <c r="C5" s="436" t="s">
        <v>376</v>
      </c>
      <c r="D5" s="437"/>
      <c r="E5" s="437"/>
      <c r="F5" s="437"/>
      <c r="G5" s="438"/>
    </row>
    <row r="6" spans="1:11" ht="18" customHeight="1" x14ac:dyDescent="0.2">
      <c r="B6" s="435" t="s">
        <v>3</v>
      </c>
      <c r="C6" s="439" t="s">
        <v>737</v>
      </c>
      <c r="D6" s="440"/>
      <c r="E6" s="440"/>
      <c r="F6" s="440"/>
      <c r="G6" s="441"/>
    </row>
    <row r="7" spans="1:11" ht="18" customHeight="1" x14ac:dyDescent="0.2">
      <c r="B7" s="435" t="s">
        <v>4</v>
      </c>
      <c r="C7" s="398">
        <v>2378</v>
      </c>
      <c r="D7" s="399"/>
      <c r="E7" s="399"/>
      <c r="F7" s="399"/>
      <c r="G7" s="400"/>
    </row>
    <row r="8" spans="1:11" ht="18" customHeight="1" x14ac:dyDescent="0.2"/>
    <row r="9" spans="1:11" ht="18" customHeight="1" x14ac:dyDescent="0.2">
      <c r="B9" s="435" t="s">
        <v>1</v>
      </c>
      <c r="C9" s="436"/>
      <c r="D9" s="437"/>
      <c r="E9" s="437"/>
      <c r="F9" s="437"/>
      <c r="G9" s="438"/>
    </row>
    <row r="10" spans="1:11" ht="18" customHeight="1" x14ac:dyDescent="0.2">
      <c r="B10" s="435" t="s">
        <v>2</v>
      </c>
      <c r="C10" s="445"/>
      <c r="D10" s="446"/>
      <c r="E10" s="446"/>
      <c r="F10" s="446"/>
      <c r="G10" s="447"/>
    </row>
    <row r="11" spans="1:11" ht="18" customHeight="1" x14ac:dyDescent="0.2">
      <c r="B11" s="435" t="s">
        <v>32</v>
      </c>
      <c r="C11" s="436"/>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9027057.7763734404</v>
      </c>
      <c r="I18" s="133">
        <v>0</v>
      </c>
      <c r="J18" s="118">
        <v>7629645.1323940959</v>
      </c>
      <c r="K18" s="118">
        <f>(H18+I18)-J18</f>
        <v>1397412.6439793445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2288</v>
      </c>
      <c r="G21" s="221">
        <v>6933</v>
      </c>
      <c r="H21" s="118">
        <v>216201.83999999997</v>
      </c>
      <c r="I21" s="133">
        <v>54914.188145786728</v>
      </c>
      <c r="J21" s="118">
        <v>8844</v>
      </c>
      <c r="K21" s="118">
        <v>262272.02814578672</v>
      </c>
    </row>
    <row r="22" spans="1:11" ht="18" customHeight="1" x14ac:dyDescent="0.2">
      <c r="A22" s="435" t="s">
        <v>76</v>
      </c>
      <c r="B22" s="259" t="s">
        <v>6</v>
      </c>
      <c r="F22" s="221">
        <v>186</v>
      </c>
      <c r="G22" s="221">
        <v>318</v>
      </c>
      <c r="H22" s="118">
        <v>9355.98</v>
      </c>
      <c r="I22" s="133">
        <v>37.161677704039583</v>
      </c>
      <c r="J22" s="118">
        <v>0</v>
      </c>
      <c r="K22" s="118">
        <v>9393.1416777040395</v>
      </c>
    </row>
    <row r="23" spans="1:11" ht="18" customHeight="1" x14ac:dyDescent="0.2">
      <c r="A23" s="435" t="s">
        <v>77</v>
      </c>
      <c r="B23" s="259" t="s">
        <v>43</v>
      </c>
      <c r="F23" s="221">
        <v>0</v>
      </c>
      <c r="G23" s="221">
        <v>0</v>
      </c>
      <c r="H23" s="118">
        <v>0</v>
      </c>
      <c r="I23" s="133">
        <v>0</v>
      </c>
      <c r="J23" s="118">
        <v>0</v>
      </c>
      <c r="K23" s="118">
        <v>0</v>
      </c>
    </row>
    <row r="24" spans="1:11" ht="18" customHeight="1" x14ac:dyDescent="0.2">
      <c r="A24" s="435" t="s">
        <v>78</v>
      </c>
      <c r="B24" s="259" t="s">
        <v>44</v>
      </c>
      <c r="F24" s="221">
        <v>109</v>
      </c>
      <c r="G24" s="221">
        <v>358</v>
      </c>
      <c r="H24" s="118">
        <v>6534.37</v>
      </c>
      <c r="I24" s="133">
        <v>588.12394279436569</v>
      </c>
      <c r="J24" s="118">
        <v>0</v>
      </c>
      <c r="K24" s="118">
        <v>7122.4939427943655</v>
      </c>
    </row>
    <row r="25" spans="1:11" ht="18" customHeight="1" x14ac:dyDescent="0.2">
      <c r="A25" s="435" t="s">
        <v>79</v>
      </c>
      <c r="B25" s="259" t="s">
        <v>5</v>
      </c>
      <c r="F25" s="221">
        <v>610</v>
      </c>
      <c r="G25" s="221">
        <v>769</v>
      </c>
      <c r="H25" s="118">
        <v>42658.299999999996</v>
      </c>
      <c r="I25" s="133">
        <v>6571.154053144739</v>
      </c>
      <c r="J25" s="118">
        <v>0</v>
      </c>
      <c r="K25" s="118">
        <v>49229.454053144735</v>
      </c>
    </row>
    <row r="26" spans="1:11" ht="18" customHeight="1" x14ac:dyDescent="0.2">
      <c r="A26" s="435" t="s">
        <v>80</v>
      </c>
      <c r="B26" s="259" t="s">
        <v>45</v>
      </c>
      <c r="F26" s="221">
        <v>337</v>
      </c>
      <c r="G26" s="221">
        <v>2360</v>
      </c>
      <c r="H26" s="118">
        <v>62155.41</v>
      </c>
      <c r="I26" s="133">
        <v>24413.067951397254</v>
      </c>
      <c r="J26" s="118">
        <v>0</v>
      </c>
      <c r="K26" s="118">
        <v>86568.477951397261</v>
      </c>
    </row>
    <row r="27" spans="1:11" ht="18" customHeight="1" x14ac:dyDescent="0.2">
      <c r="A27" s="435" t="s">
        <v>81</v>
      </c>
      <c r="B27" s="259" t="s">
        <v>46</v>
      </c>
      <c r="F27" s="221">
        <v>0</v>
      </c>
      <c r="G27" s="221">
        <v>0</v>
      </c>
      <c r="H27" s="118">
        <v>1129110.49</v>
      </c>
      <c r="I27" s="133">
        <v>608110.72640043788</v>
      </c>
      <c r="J27" s="118">
        <v>260560.1</v>
      </c>
      <c r="K27" s="118">
        <v>1476661.1164004379</v>
      </c>
    </row>
    <row r="28" spans="1:11" ht="18" customHeight="1" x14ac:dyDescent="0.2">
      <c r="A28" s="435" t="s">
        <v>82</v>
      </c>
      <c r="B28" s="259" t="s">
        <v>47</v>
      </c>
      <c r="F28" s="221">
        <v>0</v>
      </c>
      <c r="G28" s="221">
        <v>0</v>
      </c>
      <c r="H28" s="118">
        <v>0</v>
      </c>
      <c r="I28" s="133">
        <v>0</v>
      </c>
      <c r="J28" s="118">
        <v>0</v>
      </c>
      <c r="K28" s="118">
        <v>0</v>
      </c>
    </row>
    <row r="29" spans="1:11" ht="18" customHeight="1" x14ac:dyDescent="0.2">
      <c r="A29" s="435" t="s">
        <v>83</v>
      </c>
      <c r="B29" s="259" t="s">
        <v>48</v>
      </c>
      <c r="F29" s="221">
        <v>321</v>
      </c>
      <c r="G29" s="221">
        <v>411</v>
      </c>
      <c r="H29" s="118">
        <v>21354.530000000002</v>
      </c>
      <c r="I29" s="133">
        <v>2868.9892337596939</v>
      </c>
      <c r="J29" s="118">
        <v>0</v>
      </c>
      <c r="K29" s="118">
        <v>24223.519233759696</v>
      </c>
    </row>
    <row r="30" spans="1:11" ht="18" customHeight="1" x14ac:dyDescent="0.2">
      <c r="A30" s="435" t="s">
        <v>84</v>
      </c>
      <c r="B30" s="898"/>
      <c r="C30" s="899"/>
      <c r="D30" s="900"/>
      <c r="F30" s="221"/>
      <c r="G30" s="221"/>
      <c r="H30" s="118"/>
      <c r="I30" s="133">
        <v>0</v>
      </c>
      <c r="J30" s="118">
        <v>0</v>
      </c>
      <c r="K30" s="118">
        <v>0</v>
      </c>
    </row>
    <row r="31" spans="1:11" ht="18" customHeight="1" x14ac:dyDescent="0.2">
      <c r="A31" s="435" t="s">
        <v>133</v>
      </c>
      <c r="B31" s="456"/>
      <c r="C31" s="457"/>
      <c r="D31" s="458"/>
      <c r="F31" s="221"/>
      <c r="G31" s="221"/>
      <c r="H31" s="118"/>
      <c r="I31" s="133">
        <v>0</v>
      </c>
      <c r="J31" s="118">
        <v>0</v>
      </c>
      <c r="K31" s="118">
        <v>0</v>
      </c>
    </row>
    <row r="32" spans="1:11" ht="18" customHeight="1" x14ac:dyDescent="0.2">
      <c r="A32" s="435" t="s">
        <v>134</v>
      </c>
      <c r="B32" s="459"/>
      <c r="C32" s="460"/>
      <c r="D32" s="461"/>
      <c r="F32" s="221"/>
      <c r="G32" s="255" t="s">
        <v>85</v>
      </c>
      <c r="H32" s="118"/>
      <c r="I32" s="133">
        <v>0</v>
      </c>
      <c r="J32" s="118">
        <v>0</v>
      </c>
      <c r="K32" s="118">
        <v>0</v>
      </c>
    </row>
    <row r="33" spans="1:11" ht="18" customHeight="1" x14ac:dyDescent="0.2">
      <c r="A33" s="435" t="s">
        <v>135</v>
      </c>
      <c r="B33" s="459"/>
      <c r="C33" s="460"/>
      <c r="D33" s="461"/>
      <c r="F33" s="221"/>
      <c r="G33" s="255" t="s">
        <v>85</v>
      </c>
      <c r="H33" s="118"/>
      <c r="I33" s="133">
        <v>0</v>
      </c>
      <c r="J33" s="118">
        <v>0</v>
      </c>
      <c r="K33" s="118">
        <v>0</v>
      </c>
    </row>
    <row r="34" spans="1:11" ht="18" customHeight="1" x14ac:dyDescent="0.2">
      <c r="A34" s="435" t="s">
        <v>136</v>
      </c>
      <c r="B34" s="456"/>
      <c r="C34" s="457"/>
      <c r="D34" s="458"/>
      <c r="F34" s="221"/>
      <c r="G34" s="255" t="s">
        <v>85</v>
      </c>
      <c r="H34" s="118"/>
      <c r="I34" s="133">
        <v>0</v>
      </c>
      <c r="J34" s="118">
        <v>0</v>
      </c>
      <c r="K34" s="118">
        <v>0</v>
      </c>
    </row>
    <row r="35" spans="1:11" ht="18" customHeight="1" x14ac:dyDescent="0.2">
      <c r="K35" s="406"/>
    </row>
    <row r="36" spans="1:11" ht="18" customHeight="1" x14ac:dyDescent="0.2">
      <c r="A36" s="455" t="s">
        <v>137</v>
      </c>
      <c r="B36" s="421" t="s">
        <v>138</v>
      </c>
      <c r="E36" s="421" t="s">
        <v>7</v>
      </c>
      <c r="F36" s="221">
        <v>3851</v>
      </c>
      <c r="G36" s="221">
        <v>11149</v>
      </c>
      <c r="H36" s="221">
        <v>1487370.9200000002</v>
      </c>
      <c r="I36" s="118">
        <v>697503.4114050247</v>
      </c>
      <c r="J36" s="118">
        <v>269404.09999999998</v>
      </c>
      <c r="K36" s="118">
        <v>1915470.2314050246</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v>0</v>
      </c>
    </row>
    <row r="41" spans="1:11" ht="18" customHeight="1" x14ac:dyDescent="0.2">
      <c r="A41" s="435" t="s">
        <v>88</v>
      </c>
      <c r="B41" s="465" t="s">
        <v>50</v>
      </c>
      <c r="C41" s="466"/>
      <c r="F41" s="221"/>
      <c r="G41" s="221"/>
      <c r="H41" s="118">
        <v>437069.3</v>
      </c>
      <c r="I41" s="133">
        <v>235394.61537579985</v>
      </c>
      <c r="J41" s="118">
        <v>0</v>
      </c>
      <c r="K41" s="118">
        <v>672463.91537579987</v>
      </c>
    </row>
    <row r="42" spans="1:11" ht="18" customHeight="1" x14ac:dyDescent="0.2">
      <c r="A42" s="435" t="s">
        <v>89</v>
      </c>
      <c r="B42" s="419" t="s">
        <v>11</v>
      </c>
      <c r="F42" s="221">
        <v>39379</v>
      </c>
      <c r="G42" s="221">
        <v>580</v>
      </c>
      <c r="H42" s="118">
        <v>1966643.47</v>
      </c>
      <c r="I42" s="133">
        <v>242.35876763504078</v>
      </c>
      <c r="J42" s="118">
        <v>0</v>
      </c>
      <c r="K42" s="118">
        <v>1966885.8287676349</v>
      </c>
    </row>
    <row r="43" spans="1:11" ht="18" customHeight="1" x14ac:dyDescent="0.2">
      <c r="A43" s="435" t="s">
        <v>90</v>
      </c>
      <c r="B43" s="467" t="s">
        <v>10</v>
      </c>
      <c r="C43" s="468"/>
      <c r="D43" s="468"/>
      <c r="F43" s="221"/>
      <c r="G43" s="221"/>
      <c r="H43" s="118"/>
      <c r="I43" s="133">
        <v>0</v>
      </c>
      <c r="J43" s="118"/>
      <c r="K43" s="118">
        <v>0</v>
      </c>
    </row>
    <row r="44" spans="1:11" ht="18" customHeight="1" x14ac:dyDescent="0.2">
      <c r="A44" s="435" t="s">
        <v>91</v>
      </c>
      <c r="B44" s="456"/>
      <c r="C44" s="457"/>
      <c r="D44" s="458"/>
      <c r="F44" s="407"/>
      <c r="G44" s="407"/>
      <c r="H44" s="407"/>
      <c r="I44" s="408">
        <v>0</v>
      </c>
      <c r="J44" s="407"/>
      <c r="K44" s="134">
        <v>0</v>
      </c>
    </row>
    <row r="45" spans="1:11" ht="18" customHeight="1" x14ac:dyDescent="0.2">
      <c r="A45" s="435" t="s">
        <v>139</v>
      </c>
      <c r="B45" s="456"/>
      <c r="C45" s="457"/>
      <c r="D45" s="458"/>
      <c r="F45" s="221"/>
      <c r="G45" s="221"/>
      <c r="H45" s="118"/>
      <c r="I45" s="133">
        <v>0</v>
      </c>
      <c r="J45" s="118"/>
      <c r="K45" s="118">
        <v>0</v>
      </c>
    </row>
    <row r="46" spans="1:11" ht="18" customHeight="1" x14ac:dyDescent="0.2">
      <c r="A46" s="435" t="s">
        <v>140</v>
      </c>
      <c r="B46" s="456"/>
      <c r="C46" s="457"/>
      <c r="D46" s="458"/>
      <c r="F46" s="221"/>
      <c r="G46" s="221"/>
      <c r="H46" s="118"/>
      <c r="I46" s="133">
        <v>0</v>
      </c>
      <c r="J46" s="118"/>
      <c r="K46" s="118">
        <v>0</v>
      </c>
    </row>
    <row r="47" spans="1:11" ht="18" customHeight="1" x14ac:dyDescent="0.2">
      <c r="A47" s="435" t="s">
        <v>141</v>
      </c>
      <c r="B47" s="456"/>
      <c r="C47" s="457"/>
      <c r="D47" s="458"/>
      <c r="F47" s="221"/>
      <c r="G47" s="221"/>
      <c r="H47" s="118"/>
      <c r="I47" s="133">
        <v>0</v>
      </c>
      <c r="J47" s="118"/>
      <c r="K47" s="118">
        <v>0</v>
      </c>
    </row>
    <row r="48" spans="1:11" ht="18" customHeight="1" x14ac:dyDescent="0.2"/>
    <row r="49" spans="1:11" ht="18" customHeight="1" x14ac:dyDescent="0.2">
      <c r="A49" s="455" t="s">
        <v>142</v>
      </c>
      <c r="B49" s="421" t="s">
        <v>143</v>
      </c>
      <c r="E49" s="421" t="s">
        <v>7</v>
      </c>
      <c r="F49" s="409">
        <v>39379</v>
      </c>
      <c r="G49" s="409">
        <v>580</v>
      </c>
      <c r="H49" s="118">
        <v>2403712.77</v>
      </c>
      <c r="I49" s="118">
        <v>235636.9741434349</v>
      </c>
      <c r="J49" s="118">
        <v>0</v>
      </c>
      <c r="K49" s="118">
        <v>2639349.7441434348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901" t="s">
        <v>344</v>
      </c>
      <c r="C53" s="902"/>
      <c r="D53" s="900"/>
      <c r="F53" s="221">
        <v>10524.863160472662</v>
      </c>
      <c r="G53" s="221"/>
      <c r="H53" s="118">
        <v>1719025.9</v>
      </c>
      <c r="I53" s="133">
        <v>925824.44145937078</v>
      </c>
      <c r="J53" s="118"/>
      <c r="K53" s="141">
        <f>H53+I53-J53</f>
        <v>2644850.3414593707</v>
      </c>
    </row>
    <row r="54" spans="1:11" ht="18" customHeight="1" x14ac:dyDescent="0.2">
      <c r="A54" s="435" t="s">
        <v>93</v>
      </c>
      <c r="B54" s="903" t="s">
        <v>377</v>
      </c>
      <c r="C54" s="904"/>
      <c r="D54" s="905"/>
      <c r="F54" s="221">
        <v>33883.081307781787</v>
      </c>
      <c r="G54" s="221"/>
      <c r="H54" s="118">
        <v>5534123.6699999999</v>
      </c>
      <c r="I54" s="133">
        <v>2980540.8724469091</v>
      </c>
      <c r="J54" s="118"/>
      <c r="K54" s="141">
        <f t="shared" ref="K54:K62" si="0">H54+I54-J54</f>
        <v>8514664.5424469095</v>
      </c>
    </row>
    <row r="55" spans="1:11" ht="18" customHeight="1" x14ac:dyDescent="0.2">
      <c r="A55" s="435" t="s">
        <v>94</v>
      </c>
      <c r="B55" s="898" t="s">
        <v>378</v>
      </c>
      <c r="C55" s="899"/>
      <c r="D55" s="900"/>
      <c r="F55" s="221">
        <v>8750.2428212820651</v>
      </c>
      <c r="G55" s="221"/>
      <c r="H55" s="118">
        <v>1429177.16</v>
      </c>
      <c r="I55" s="133">
        <v>769719.14495499444</v>
      </c>
      <c r="J55" s="118"/>
      <c r="K55" s="141">
        <f t="shared" si="0"/>
        <v>2198896.3049549945</v>
      </c>
    </row>
    <row r="56" spans="1:11" ht="18" customHeight="1" x14ac:dyDescent="0.2">
      <c r="A56" s="435" t="s">
        <v>95</v>
      </c>
      <c r="B56" s="898" t="s">
        <v>379</v>
      </c>
      <c r="C56" s="899"/>
      <c r="D56" s="900"/>
      <c r="F56" s="221">
        <v>9692.9793057001152</v>
      </c>
      <c r="G56" s="221"/>
      <c r="H56" s="118">
        <v>1583154.31</v>
      </c>
      <c r="I56" s="133">
        <v>852647.39455045189</v>
      </c>
      <c r="J56" s="118"/>
      <c r="K56" s="141">
        <f t="shared" si="0"/>
        <v>2435801.7045504521</v>
      </c>
    </row>
    <row r="57" spans="1:11" ht="18" customHeight="1" x14ac:dyDescent="0.2">
      <c r="A57" s="435" t="s">
        <v>96</v>
      </c>
      <c r="B57" s="898" t="s">
        <v>368</v>
      </c>
      <c r="C57" s="899"/>
      <c r="D57" s="900"/>
      <c r="F57" s="221">
        <v>20109.963754362332</v>
      </c>
      <c r="G57" s="221"/>
      <c r="H57" s="118">
        <v>3284560.38</v>
      </c>
      <c r="I57" s="133">
        <v>1768982.2353770693</v>
      </c>
      <c r="J57" s="118"/>
      <c r="K57" s="141">
        <f t="shared" si="0"/>
        <v>5053542.6153770695</v>
      </c>
    </row>
    <row r="58" spans="1:11" ht="18" customHeight="1" x14ac:dyDescent="0.2">
      <c r="A58" s="435" t="s">
        <v>97</v>
      </c>
      <c r="B58" s="903"/>
      <c r="C58" s="904"/>
      <c r="D58" s="905"/>
      <c r="F58" s="221"/>
      <c r="G58" s="221"/>
      <c r="H58" s="118"/>
      <c r="I58" s="133"/>
      <c r="J58" s="118"/>
      <c r="K58" s="141">
        <f t="shared" si="0"/>
        <v>0</v>
      </c>
    </row>
    <row r="59" spans="1:11" ht="18" customHeight="1" x14ac:dyDescent="0.2">
      <c r="A59" s="435" t="s">
        <v>98</v>
      </c>
      <c r="B59" s="416" t="s">
        <v>380</v>
      </c>
      <c r="C59" s="417"/>
      <c r="D59" s="412"/>
      <c r="F59" s="221">
        <v>11509.182085348679</v>
      </c>
      <c r="G59" s="221"/>
      <c r="H59" s="118">
        <v>1879794.71</v>
      </c>
      <c r="I59" s="133">
        <v>1012410.5096054864</v>
      </c>
      <c r="J59" s="118"/>
      <c r="K59" s="141">
        <f t="shared" si="0"/>
        <v>2892205.2196054864</v>
      </c>
    </row>
    <row r="60" spans="1:11" ht="18" customHeight="1" x14ac:dyDescent="0.2">
      <c r="A60" s="435" t="s">
        <v>99</v>
      </c>
      <c r="B60" s="420" t="s">
        <v>381</v>
      </c>
      <c r="C60" s="414"/>
      <c r="D60" s="415"/>
      <c r="F60" s="221">
        <v>1757.7787301781668</v>
      </c>
      <c r="G60" s="221"/>
      <c r="H60" s="118">
        <v>287098</v>
      </c>
      <c r="I60" s="133">
        <v>154623.81660107765</v>
      </c>
      <c r="J60" s="118"/>
      <c r="K60" s="141">
        <f t="shared" si="0"/>
        <v>441721.81660107768</v>
      </c>
    </row>
    <row r="61" spans="1:11" ht="18" customHeight="1" x14ac:dyDescent="0.2">
      <c r="A61" s="435" t="s">
        <v>100</v>
      </c>
      <c r="B61" s="420" t="s">
        <v>382</v>
      </c>
      <c r="C61" s="414"/>
      <c r="D61" s="415"/>
      <c r="F61" s="221">
        <v>1220.2471070838178</v>
      </c>
      <c r="G61" s="221"/>
      <c r="H61" s="118">
        <v>199302.96</v>
      </c>
      <c r="I61" s="133">
        <v>107339.59949247961</v>
      </c>
      <c r="J61" s="118"/>
      <c r="K61" s="141">
        <f t="shared" si="0"/>
        <v>306642.5594924796</v>
      </c>
    </row>
    <row r="62" spans="1:11" ht="18" customHeight="1" x14ac:dyDescent="0.2">
      <c r="A62" s="435" t="s">
        <v>101</v>
      </c>
      <c r="B62" s="416" t="s">
        <v>439</v>
      </c>
      <c r="C62" s="417"/>
      <c r="D62" s="412"/>
      <c r="F62" s="221">
        <v>6582.9531623094344</v>
      </c>
      <c r="G62" s="221"/>
      <c r="H62" s="118">
        <v>1075193.74</v>
      </c>
      <c r="I62" s="133">
        <v>579072.51065624552</v>
      </c>
      <c r="J62" s="118"/>
      <c r="K62" s="141">
        <f t="shared" si="0"/>
        <v>1654266.2506562455</v>
      </c>
    </row>
    <row r="63" spans="1:11" ht="18" customHeight="1" x14ac:dyDescent="0.2">
      <c r="A63" s="435"/>
      <c r="I63" s="129"/>
    </row>
    <row r="64" spans="1:11" ht="18" customHeight="1" x14ac:dyDescent="0.2">
      <c r="A64" s="435" t="s">
        <v>144</v>
      </c>
      <c r="B64" s="421" t="s">
        <v>145</v>
      </c>
      <c r="E64" s="421" t="s">
        <v>7</v>
      </c>
      <c r="F64" s="221">
        <v>104031.29143451907</v>
      </c>
      <c r="G64" s="221">
        <v>0</v>
      </c>
      <c r="H64" s="118">
        <f>SUM(H53:H62)</f>
        <v>16991430.830000002</v>
      </c>
      <c r="I64" s="118">
        <v>9151160.5251440834</v>
      </c>
      <c r="J64" s="118">
        <v>0</v>
      </c>
      <c r="K64" s="118">
        <f t="shared" ref="K64" si="1">SUM(K53:K62)</f>
        <v>26142591.355144091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221">
        <v>0</v>
      </c>
      <c r="G68" s="906">
        <v>53</v>
      </c>
      <c r="H68" s="133">
        <v>166634.66</v>
      </c>
      <c r="I68" s="133">
        <v>89745.268539742276</v>
      </c>
      <c r="J68" s="133">
        <v>11159.54</v>
      </c>
      <c r="K68" s="118">
        <v>245220.38853974227</v>
      </c>
    </row>
    <row r="69" spans="1:11" ht="18" customHeight="1" x14ac:dyDescent="0.2">
      <c r="A69" s="435" t="s">
        <v>104</v>
      </c>
      <c r="B69" s="419" t="s">
        <v>53</v>
      </c>
      <c r="F69" s="122"/>
      <c r="G69" s="122"/>
      <c r="H69" s="122"/>
      <c r="I69" s="133">
        <v>0</v>
      </c>
      <c r="J69" s="122"/>
      <c r="K69" s="118">
        <v>0</v>
      </c>
    </row>
    <row r="70" spans="1:11" ht="18" customHeight="1" x14ac:dyDescent="0.2">
      <c r="A70" s="435" t="s">
        <v>178</v>
      </c>
      <c r="B70" s="413" t="s">
        <v>738</v>
      </c>
      <c r="C70" s="414"/>
      <c r="D70" s="415"/>
      <c r="E70" s="421"/>
      <c r="F70" s="221">
        <v>0</v>
      </c>
      <c r="G70" s="221">
        <v>0</v>
      </c>
      <c r="H70" s="118">
        <v>250113</v>
      </c>
      <c r="I70" s="133">
        <v>134704.61877667325</v>
      </c>
      <c r="J70" s="118">
        <v>0</v>
      </c>
      <c r="K70" s="118">
        <v>384817.61877667322</v>
      </c>
    </row>
    <row r="71" spans="1:11" ht="18" customHeight="1" x14ac:dyDescent="0.2">
      <c r="A71" s="435" t="s">
        <v>179</v>
      </c>
      <c r="B71" s="420"/>
      <c r="C71" s="414"/>
      <c r="D71" s="415"/>
      <c r="E71" s="421"/>
      <c r="F71" s="422"/>
      <c r="G71" s="422"/>
      <c r="H71" s="423"/>
      <c r="I71" s="133">
        <v>0</v>
      </c>
      <c r="J71" s="423"/>
      <c r="K71" s="118">
        <v>0</v>
      </c>
    </row>
    <row r="72" spans="1:11" ht="18" customHeight="1" x14ac:dyDescent="0.2">
      <c r="A72" s="435" t="s">
        <v>180</v>
      </c>
      <c r="B72" s="424"/>
      <c r="C72" s="425"/>
      <c r="D72" s="426"/>
      <c r="E72" s="421"/>
      <c r="F72" s="221"/>
      <c r="G72" s="221"/>
      <c r="H72" s="118"/>
      <c r="I72" s="133">
        <v>0</v>
      </c>
      <c r="J72" s="118"/>
      <c r="K72" s="118">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v>0</v>
      </c>
      <c r="G74" s="122">
        <v>53</v>
      </c>
      <c r="H74" s="122">
        <v>416747.66000000003</v>
      </c>
      <c r="I74" s="133">
        <v>224449.88731641552</v>
      </c>
      <c r="J74" s="122">
        <v>11159.54</v>
      </c>
      <c r="K74" s="118">
        <v>630038.00731641543</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40000</v>
      </c>
      <c r="I77" s="133">
        <v>21543.001567559182</v>
      </c>
      <c r="J77" s="118">
        <v>0</v>
      </c>
      <c r="K77" s="118">
        <v>61543.001567559186</v>
      </c>
    </row>
    <row r="78" spans="1:11" ht="18" customHeight="1" x14ac:dyDescent="0.2">
      <c r="A78" s="435" t="s">
        <v>108</v>
      </c>
      <c r="B78" s="419" t="s">
        <v>55</v>
      </c>
      <c r="F78" s="221">
        <v>0</v>
      </c>
      <c r="G78" s="221">
        <v>0</v>
      </c>
      <c r="H78" s="118">
        <v>0</v>
      </c>
      <c r="I78" s="133">
        <v>0</v>
      </c>
      <c r="J78" s="118">
        <v>0</v>
      </c>
      <c r="K78" s="118">
        <v>0</v>
      </c>
    </row>
    <row r="79" spans="1:11" ht="18" customHeight="1" x14ac:dyDescent="0.2">
      <c r="A79" s="435" t="s">
        <v>109</v>
      </c>
      <c r="B79" s="419" t="s">
        <v>13</v>
      </c>
      <c r="F79" s="221">
        <v>0</v>
      </c>
      <c r="G79" s="221">
        <v>0</v>
      </c>
      <c r="H79" s="118">
        <v>0</v>
      </c>
      <c r="I79" s="133">
        <v>0</v>
      </c>
      <c r="J79" s="118">
        <v>0</v>
      </c>
      <c r="K79" s="118">
        <v>0</v>
      </c>
    </row>
    <row r="80" spans="1:11" ht="18" customHeight="1" x14ac:dyDescent="0.2">
      <c r="A80" s="435" t="s">
        <v>110</v>
      </c>
      <c r="B80" s="419" t="s">
        <v>56</v>
      </c>
      <c r="F80" s="221"/>
      <c r="G80" s="221"/>
      <c r="H80" s="118"/>
      <c r="I80" s="133">
        <v>0</v>
      </c>
      <c r="J80" s="118"/>
      <c r="K80" s="118">
        <v>0</v>
      </c>
    </row>
    <row r="81" spans="1:11" ht="18" customHeight="1" x14ac:dyDescent="0.2">
      <c r="A81" s="435"/>
      <c r="K81" s="428"/>
    </row>
    <row r="82" spans="1:11" ht="18" customHeight="1" x14ac:dyDescent="0.2">
      <c r="A82" s="435" t="s">
        <v>148</v>
      </c>
      <c r="B82" s="421" t="s">
        <v>149</v>
      </c>
      <c r="E82" s="421" t="s">
        <v>7</v>
      </c>
      <c r="F82" s="122">
        <v>0</v>
      </c>
      <c r="G82" s="122">
        <v>0</v>
      </c>
      <c r="H82" s="118">
        <v>40000</v>
      </c>
      <c r="I82" s="118">
        <v>21543.001567559182</v>
      </c>
      <c r="J82" s="118">
        <v>0</v>
      </c>
      <c r="K82" s="118">
        <v>61543.001567559186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0</v>
      </c>
      <c r="G86" s="221">
        <v>0</v>
      </c>
      <c r="H86" s="118">
        <v>0</v>
      </c>
      <c r="I86" s="133">
        <v>0</v>
      </c>
      <c r="J86" s="118">
        <v>0</v>
      </c>
      <c r="K86" s="118">
        <v>0</v>
      </c>
    </row>
    <row r="87" spans="1:11" ht="18" customHeight="1" x14ac:dyDescent="0.2">
      <c r="A87" s="435" t="s">
        <v>114</v>
      </c>
      <c r="B87" s="419" t="s">
        <v>14</v>
      </c>
      <c r="F87" s="221">
        <v>0</v>
      </c>
      <c r="G87" s="221">
        <v>0</v>
      </c>
      <c r="H87" s="118">
        <v>0</v>
      </c>
      <c r="I87" s="133">
        <v>0</v>
      </c>
      <c r="J87" s="118">
        <v>0</v>
      </c>
      <c r="K87" s="118">
        <v>0</v>
      </c>
    </row>
    <row r="88" spans="1:11" ht="18" customHeight="1" x14ac:dyDescent="0.2">
      <c r="A88" s="435" t="s">
        <v>115</v>
      </c>
      <c r="B88" s="419" t="s">
        <v>116</v>
      </c>
      <c r="F88" s="221">
        <v>37</v>
      </c>
      <c r="G88" s="221">
        <v>60</v>
      </c>
      <c r="H88" s="118">
        <v>0</v>
      </c>
      <c r="I88" s="133">
        <v>0</v>
      </c>
      <c r="J88" s="118">
        <v>0</v>
      </c>
      <c r="K88" s="118">
        <v>0</v>
      </c>
    </row>
    <row r="89" spans="1:11" ht="18" customHeight="1" x14ac:dyDescent="0.2">
      <c r="A89" s="435" t="s">
        <v>117</v>
      </c>
      <c r="B89" s="419" t="s">
        <v>58</v>
      </c>
      <c r="F89" s="221">
        <v>0</v>
      </c>
      <c r="G89" s="221">
        <v>0</v>
      </c>
      <c r="H89" s="118">
        <v>0</v>
      </c>
      <c r="I89" s="133">
        <v>0</v>
      </c>
      <c r="J89" s="118">
        <v>0</v>
      </c>
      <c r="K89" s="118">
        <v>0</v>
      </c>
    </row>
    <row r="90" spans="1:11" ht="18" customHeight="1" x14ac:dyDescent="0.2">
      <c r="A90" s="435" t="s">
        <v>118</v>
      </c>
      <c r="B90" s="465" t="s">
        <v>59</v>
      </c>
      <c r="C90" s="466"/>
      <c r="F90" s="221">
        <v>0</v>
      </c>
      <c r="G90" s="221">
        <v>0</v>
      </c>
      <c r="H90" s="118">
        <v>0</v>
      </c>
      <c r="I90" s="133">
        <v>0</v>
      </c>
      <c r="J90" s="118">
        <v>0</v>
      </c>
      <c r="K90" s="118">
        <v>0</v>
      </c>
    </row>
    <row r="91" spans="1:11" ht="18" customHeight="1" x14ac:dyDescent="0.2">
      <c r="A91" s="435" t="s">
        <v>119</v>
      </c>
      <c r="B91" s="419" t="s">
        <v>60</v>
      </c>
      <c r="F91" s="221">
        <v>0</v>
      </c>
      <c r="G91" s="221">
        <v>0</v>
      </c>
      <c r="H91" s="118">
        <v>0</v>
      </c>
      <c r="I91" s="133">
        <v>0</v>
      </c>
      <c r="J91" s="118">
        <v>0</v>
      </c>
      <c r="K91" s="118">
        <v>0</v>
      </c>
    </row>
    <row r="92" spans="1:11" ht="18" customHeight="1" x14ac:dyDescent="0.2">
      <c r="A92" s="435" t="s">
        <v>120</v>
      </c>
      <c r="B92" s="419" t="s">
        <v>121</v>
      </c>
      <c r="F92" s="221">
        <v>117</v>
      </c>
      <c r="G92" s="221">
        <v>1000</v>
      </c>
      <c r="H92" s="118">
        <v>6485.81</v>
      </c>
      <c r="I92" s="133">
        <v>346.84232523770282</v>
      </c>
      <c r="J92" s="118">
        <v>0</v>
      </c>
      <c r="K92" s="118">
        <v>6832.6523252377028</v>
      </c>
    </row>
    <row r="93" spans="1:11" ht="18" customHeight="1" x14ac:dyDescent="0.2">
      <c r="A93" s="435" t="s">
        <v>122</v>
      </c>
      <c r="B93" s="419" t="s">
        <v>123</v>
      </c>
      <c r="F93" s="221">
        <v>142</v>
      </c>
      <c r="G93" s="221">
        <v>43</v>
      </c>
      <c r="H93" s="118">
        <v>25092.06</v>
      </c>
      <c r="I93" s="133">
        <v>9695.4278554800094</v>
      </c>
      <c r="J93" s="118">
        <v>0</v>
      </c>
      <c r="K93" s="118">
        <v>34787.487855480009</v>
      </c>
    </row>
    <row r="94" spans="1:11" ht="18" customHeight="1" x14ac:dyDescent="0.2">
      <c r="A94" s="435" t="s">
        <v>124</v>
      </c>
      <c r="B94" s="418"/>
      <c r="C94" s="417"/>
      <c r="D94" s="412"/>
      <c r="F94" s="221"/>
      <c r="G94" s="221"/>
      <c r="H94" s="118"/>
      <c r="I94" s="133">
        <v>0</v>
      </c>
      <c r="J94" s="118"/>
      <c r="K94" s="118">
        <v>0</v>
      </c>
    </row>
    <row r="95" spans="1:11" ht="18" customHeight="1" x14ac:dyDescent="0.2">
      <c r="A95" s="435" t="s">
        <v>125</v>
      </c>
      <c r="B95" s="418"/>
      <c r="C95" s="417"/>
      <c r="D95" s="412"/>
      <c r="F95" s="221"/>
      <c r="G95" s="221"/>
      <c r="H95" s="118"/>
      <c r="I95" s="133">
        <v>0</v>
      </c>
      <c r="J95" s="118"/>
      <c r="K95" s="118">
        <v>0</v>
      </c>
    </row>
    <row r="96" spans="1:11" ht="18" customHeight="1" x14ac:dyDescent="0.2">
      <c r="A96" s="435" t="s">
        <v>126</v>
      </c>
      <c r="B96" s="418"/>
      <c r="C96" s="417"/>
      <c r="D96" s="412"/>
      <c r="F96" s="221"/>
      <c r="G96" s="221"/>
      <c r="H96" s="118"/>
      <c r="I96" s="133">
        <v>0</v>
      </c>
      <c r="J96" s="118"/>
      <c r="K96" s="118">
        <v>0</v>
      </c>
    </row>
    <row r="97" spans="1:11" ht="18" customHeight="1" x14ac:dyDescent="0.2">
      <c r="A97" s="435"/>
      <c r="B97" s="419"/>
    </row>
    <row r="98" spans="1:11" ht="18" customHeight="1" x14ac:dyDescent="0.2">
      <c r="A98" s="455" t="s">
        <v>150</v>
      </c>
      <c r="B98" s="421" t="s">
        <v>151</v>
      </c>
      <c r="E98" s="421" t="s">
        <v>7</v>
      </c>
      <c r="F98" s="221">
        <v>296</v>
      </c>
      <c r="G98" s="221">
        <v>1103</v>
      </c>
      <c r="H98" s="221">
        <v>31577.870000000003</v>
      </c>
      <c r="I98" s="221">
        <v>10042.270180717713</v>
      </c>
      <c r="J98" s="221">
        <v>0</v>
      </c>
      <c r="K98" s="221">
        <v>41620.14018071771</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0</v>
      </c>
      <c r="G102" s="221">
        <v>0</v>
      </c>
      <c r="H102" s="118">
        <v>0</v>
      </c>
      <c r="I102" s="133">
        <v>0</v>
      </c>
      <c r="J102" s="118">
        <v>0</v>
      </c>
      <c r="K102" s="118">
        <v>0</v>
      </c>
    </row>
    <row r="103" spans="1:11" ht="18" customHeight="1" x14ac:dyDescent="0.2">
      <c r="A103" s="435" t="s">
        <v>132</v>
      </c>
      <c r="B103" s="465" t="s">
        <v>62</v>
      </c>
      <c r="C103" s="465"/>
      <c r="F103" s="221">
        <v>25</v>
      </c>
      <c r="G103" s="221">
        <v>0</v>
      </c>
      <c r="H103" s="118">
        <v>17048.25</v>
      </c>
      <c r="I103" s="133">
        <v>8509.4856191858762</v>
      </c>
      <c r="J103" s="118">
        <v>0</v>
      </c>
      <c r="K103" s="118">
        <v>25557.735619185878</v>
      </c>
    </row>
    <row r="104" spans="1:11" ht="18" customHeight="1" x14ac:dyDescent="0.2">
      <c r="A104" s="435" t="s">
        <v>128</v>
      </c>
      <c r="B104" s="418"/>
      <c r="C104" s="417"/>
      <c r="D104" s="412"/>
      <c r="F104" s="221"/>
      <c r="G104" s="221"/>
      <c r="H104" s="118"/>
      <c r="I104" s="133">
        <v>0</v>
      </c>
      <c r="J104" s="118"/>
      <c r="K104" s="118">
        <v>0</v>
      </c>
    </row>
    <row r="105" spans="1:11" ht="18" customHeight="1" x14ac:dyDescent="0.2">
      <c r="A105" s="435" t="s">
        <v>127</v>
      </c>
      <c r="B105" s="418"/>
      <c r="C105" s="417"/>
      <c r="D105" s="412"/>
      <c r="F105" s="221"/>
      <c r="G105" s="221"/>
      <c r="H105" s="118"/>
      <c r="I105" s="133">
        <v>0</v>
      </c>
      <c r="J105" s="118"/>
      <c r="K105" s="118">
        <v>0</v>
      </c>
    </row>
    <row r="106" spans="1:11" ht="18" customHeight="1" x14ac:dyDescent="0.2">
      <c r="A106" s="435" t="s">
        <v>129</v>
      </c>
      <c r="B106" s="418"/>
      <c r="C106" s="417"/>
      <c r="D106" s="412"/>
      <c r="F106" s="221"/>
      <c r="G106" s="221"/>
      <c r="H106" s="118"/>
      <c r="I106" s="133">
        <v>0</v>
      </c>
      <c r="J106" s="118"/>
      <c r="K106" s="118">
        <v>0</v>
      </c>
    </row>
    <row r="107" spans="1:11" ht="18" customHeight="1" x14ac:dyDescent="0.2">
      <c r="B107" s="421"/>
    </row>
    <row r="108" spans="1:11" s="468" customFormat="1" ht="18" customHeight="1" x14ac:dyDescent="0.2">
      <c r="A108" s="455" t="s">
        <v>153</v>
      </c>
      <c r="B108" s="481" t="s">
        <v>154</v>
      </c>
      <c r="C108" s="259"/>
      <c r="D108" s="259"/>
      <c r="E108" s="421" t="s">
        <v>7</v>
      </c>
      <c r="F108" s="221">
        <v>25</v>
      </c>
      <c r="G108" s="221">
        <v>0</v>
      </c>
      <c r="H108" s="118">
        <v>17048.25</v>
      </c>
      <c r="I108" s="118">
        <v>8509.4856191858762</v>
      </c>
      <c r="J108" s="118">
        <v>0</v>
      </c>
      <c r="K108" s="118">
        <v>25557.735619185878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5281000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0.53857503918897953</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361145000</v>
      </c>
    </row>
    <row r="118" spans="1:6" ht="18" customHeight="1" x14ac:dyDescent="0.2">
      <c r="A118" s="435" t="s">
        <v>173</v>
      </c>
      <c r="B118" s="259" t="s">
        <v>18</v>
      </c>
      <c r="F118" s="118">
        <v>3266000</v>
      </c>
    </row>
    <row r="119" spans="1:6" ht="18" customHeight="1" x14ac:dyDescent="0.2">
      <c r="A119" s="435" t="s">
        <v>174</v>
      </c>
      <c r="B119" s="421" t="s">
        <v>19</v>
      </c>
      <c r="F119" s="118">
        <v>364411000</v>
      </c>
    </row>
    <row r="120" spans="1:6" ht="18" customHeight="1" x14ac:dyDescent="0.2">
      <c r="A120" s="435"/>
      <c r="B120" s="421"/>
    </row>
    <row r="121" spans="1:6" ht="18" customHeight="1" x14ac:dyDescent="0.2">
      <c r="A121" s="435" t="s">
        <v>167</v>
      </c>
      <c r="B121" s="421" t="s">
        <v>36</v>
      </c>
      <c r="F121" s="118">
        <v>337972000</v>
      </c>
    </row>
    <row r="122" spans="1:6" ht="18" customHeight="1" x14ac:dyDescent="0.2">
      <c r="A122" s="435"/>
    </row>
    <row r="123" spans="1:6" ht="18" customHeight="1" x14ac:dyDescent="0.2">
      <c r="A123" s="435" t="s">
        <v>175</v>
      </c>
      <c r="B123" s="421" t="s">
        <v>20</v>
      </c>
      <c r="F123" s="907">
        <v>26439000</v>
      </c>
    </row>
    <row r="124" spans="1:6" ht="18" customHeight="1" x14ac:dyDescent="0.2">
      <c r="A124" s="435"/>
    </row>
    <row r="125" spans="1:6" ht="18" customHeight="1" x14ac:dyDescent="0.2">
      <c r="A125" s="435" t="s">
        <v>176</v>
      </c>
      <c r="B125" s="421" t="s">
        <v>21</v>
      </c>
      <c r="F125" s="908">
        <v>1412000</v>
      </c>
    </row>
    <row r="126" spans="1:6" ht="18" customHeight="1" x14ac:dyDescent="0.2">
      <c r="A126" s="435"/>
    </row>
    <row r="127" spans="1:6" ht="18" customHeight="1" x14ac:dyDescent="0.2">
      <c r="A127" s="435" t="s">
        <v>177</v>
      </c>
      <c r="B127" s="421" t="s">
        <v>22</v>
      </c>
      <c r="F127" s="118">
        <v>27851000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v>0</v>
      </c>
    </row>
    <row r="132" spans="1:11" ht="18" customHeight="1" x14ac:dyDescent="0.2">
      <c r="A132" s="435" t="s">
        <v>159</v>
      </c>
      <c r="B132" s="259" t="s">
        <v>25</v>
      </c>
      <c r="F132" s="221"/>
      <c r="G132" s="221"/>
      <c r="H132" s="118"/>
      <c r="I132" s="133">
        <v>0</v>
      </c>
      <c r="J132" s="118"/>
      <c r="K132" s="118">
        <v>0</v>
      </c>
    </row>
    <row r="133" spans="1:11" ht="18" customHeight="1" x14ac:dyDescent="0.2">
      <c r="A133" s="435" t="s">
        <v>160</v>
      </c>
      <c r="B133" s="456"/>
      <c r="C133" s="457"/>
      <c r="D133" s="458"/>
      <c r="F133" s="221"/>
      <c r="G133" s="221"/>
      <c r="H133" s="118"/>
      <c r="I133" s="133">
        <v>0</v>
      </c>
      <c r="J133" s="118"/>
      <c r="K133" s="118">
        <v>0</v>
      </c>
    </row>
    <row r="134" spans="1:11" ht="18" customHeight="1" x14ac:dyDescent="0.2">
      <c r="A134" s="435" t="s">
        <v>161</v>
      </c>
      <c r="B134" s="456"/>
      <c r="C134" s="457"/>
      <c r="D134" s="458"/>
      <c r="F134" s="221"/>
      <c r="G134" s="221"/>
      <c r="H134" s="118"/>
      <c r="I134" s="133">
        <v>0</v>
      </c>
      <c r="J134" s="118"/>
      <c r="K134" s="118">
        <v>0</v>
      </c>
    </row>
    <row r="135" spans="1:11" ht="18" customHeight="1" x14ac:dyDescent="0.2">
      <c r="A135" s="435" t="s">
        <v>162</v>
      </c>
      <c r="B135" s="456"/>
      <c r="C135" s="457"/>
      <c r="D135" s="458"/>
      <c r="F135" s="221"/>
      <c r="G135" s="221"/>
      <c r="H135" s="118"/>
      <c r="I135" s="133">
        <v>0</v>
      </c>
      <c r="J135" s="118"/>
      <c r="K135" s="118">
        <v>0</v>
      </c>
    </row>
    <row r="136" spans="1:11" ht="18" customHeight="1" x14ac:dyDescent="0.2">
      <c r="A136" s="455"/>
    </row>
    <row r="137" spans="1:11" ht="18" customHeight="1" x14ac:dyDescent="0.2">
      <c r="A137" s="455" t="s">
        <v>163</v>
      </c>
      <c r="B137" s="421" t="s">
        <v>27</v>
      </c>
      <c r="F137" s="221">
        <v>0</v>
      </c>
      <c r="G137" s="221">
        <v>0</v>
      </c>
      <c r="H137" s="118">
        <v>0</v>
      </c>
      <c r="I137" s="118">
        <v>0</v>
      </c>
      <c r="J137" s="118">
        <v>0</v>
      </c>
      <c r="K137" s="118">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v>3851</v>
      </c>
      <c r="G141" s="422">
        <v>11149</v>
      </c>
      <c r="H141" s="422">
        <v>1487370.9200000002</v>
      </c>
      <c r="I141" s="422">
        <v>697503.4114050247</v>
      </c>
      <c r="J141" s="422">
        <v>269404.09999999998</v>
      </c>
      <c r="K141" s="422">
        <v>1915470.2314050246</v>
      </c>
    </row>
    <row r="142" spans="1:11" ht="18" customHeight="1" x14ac:dyDescent="0.2">
      <c r="A142" s="435" t="s">
        <v>142</v>
      </c>
      <c r="B142" s="421" t="s">
        <v>65</v>
      </c>
      <c r="F142" s="422">
        <v>39379</v>
      </c>
      <c r="G142" s="422">
        <v>580</v>
      </c>
      <c r="H142" s="422">
        <v>2403712.77</v>
      </c>
      <c r="I142" s="422">
        <v>235636.9741434349</v>
      </c>
      <c r="J142" s="422">
        <v>0</v>
      </c>
      <c r="K142" s="422">
        <v>2639349.7441434348</v>
      </c>
    </row>
    <row r="143" spans="1:11" ht="18" customHeight="1" x14ac:dyDescent="0.2">
      <c r="A143" s="435" t="s">
        <v>144</v>
      </c>
      <c r="B143" s="421" t="s">
        <v>66</v>
      </c>
      <c r="F143" s="422">
        <v>104031.29143451907</v>
      </c>
      <c r="G143" s="422">
        <v>0</v>
      </c>
      <c r="H143" s="422">
        <v>16991430.830000002</v>
      </c>
      <c r="I143" s="422">
        <v>9151160.5251440834</v>
      </c>
      <c r="J143" s="422">
        <v>0</v>
      </c>
      <c r="K143" s="422">
        <v>26142591.355144091</v>
      </c>
    </row>
    <row r="144" spans="1:11" ht="18" customHeight="1" x14ac:dyDescent="0.2">
      <c r="A144" s="435" t="s">
        <v>146</v>
      </c>
      <c r="B144" s="421" t="s">
        <v>67</v>
      </c>
      <c r="F144" s="422">
        <v>0</v>
      </c>
      <c r="G144" s="422">
        <v>53</v>
      </c>
      <c r="H144" s="422">
        <v>416747.66000000003</v>
      </c>
      <c r="I144" s="422">
        <v>224449.88731641552</v>
      </c>
      <c r="J144" s="422">
        <v>11159.54</v>
      </c>
      <c r="K144" s="422">
        <v>630038.00731641543</v>
      </c>
    </row>
    <row r="145" spans="1:11" ht="18" customHeight="1" x14ac:dyDescent="0.2">
      <c r="A145" s="435" t="s">
        <v>148</v>
      </c>
      <c r="B145" s="421" t="s">
        <v>68</v>
      </c>
      <c r="F145" s="422">
        <v>0</v>
      </c>
      <c r="G145" s="422">
        <v>0</v>
      </c>
      <c r="H145" s="422">
        <v>40000</v>
      </c>
      <c r="I145" s="422">
        <v>21543.001567559182</v>
      </c>
      <c r="J145" s="422">
        <v>0</v>
      </c>
      <c r="K145" s="422">
        <v>61543.001567559186</v>
      </c>
    </row>
    <row r="146" spans="1:11" ht="18" customHeight="1" x14ac:dyDescent="0.2">
      <c r="A146" s="435" t="s">
        <v>150</v>
      </c>
      <c r="B146" s="421" t="s">
        <v>69</v>
      </c>
      <c r="F146" s="422">
        <v>296</v>
      </c>
      <c r="G146" s="422">
        <v>1103</v>
      </c>
      <c r="H146" s="422">
        <v>31577.870000000003</v>
      </c>
      <c r="I146" s="422">
        <v>10042.270180717713</v>
      </c>
      <c r="J146" s="422">
        <v>0</v>
      </c>
      <c r="K146" s="422">
        <v>41620.14018071771</v>
      </c>
    </row>
    <row r="147" spans="1:11" ht="18" customHeight="1" x14ac:dyDescent="0.2">
      <c r="A147" s="435" t="s">
        <v>153</v>
      </c>
      <c r="B147" s="421" t="s">
        <v>61</v>
      </c>
      <c r="F147" s="221">
        <v>25</v>
      </c>
      <c r="G147" s="221">
        <v>0</v>
      </c>
      <c r="H147" s="221">
        <v>17048.25</v>
      </c>
      <c r="I147" s="221">
        <v>8509.4856191858762</v>
      </c>
      <c r="J147" s="221">
        <v>0</v>
      </c>
      <c r="K147" s="221">
        <v>25557.735619185878</v>
      </c>
    </row>
    <row r="148" spans="1:11" ht="18" customHeight="1" x14ac:dyDescent="0.2">
      <c r="A148" s="435" t="s">
        <v>155</v>
      </c>
      <c r="B148" s="421" t="s">
        <v>70</v>
      </c>
      <c r="F148" s="485" t="s">
        <v>73</v>
      </c>
      <c r="G148" s="485" t="s">
        <v>73</v>
      </c>
      <c r="H148" s="486" t="s">
        <v>73</v>
      </c>
      <c r="I148" s="486" t="s">
        <v>73</v>
      </c>
      <c r="J148" s="486" t="s">
        <v>73</v>
      </c>
      <c r="K148" s="886">
        <v>5281000</v>
      </c>
    </row>
    <row r="149" spans="1:11" ht="18" customHeight="1" x14ac:dyDescent="0.2">
      <c r="A149" s="435" t="s">
        <v>163</v>
      </c>
      <c r="B149" s="421" t="s">
        <v>71</v>
      </c>
      <c r="F149" s="221">
        <v>0</v>
      </c>
      <c r="G149" s="221">
        <v>0</v>
      </c>
      <c r="H149" s="221">
        <v>0</v>
      </c>
      <c r="I149" s="221">
        <v>0</v>
      </c>
      <c r="J149" s="221">
        <v>0</v>
      </c>
      <c r="K149" s="221">
        <v>0</v>
      </c>
    </row>
    <row r="150" spans="1:11" ht="18" customHeight="1" x14ac:dyDescent="0.2">
      <c r="A150" s="435" t="s">
        <v>185</v>
      </c>
      <c r="B150" s="421" t="s">
        <v>186</v>
      </c>
      <c r="F150" s="485" t="s">
        <v>73</v>
      </c>
      <c r="G150" s="485" t="s">
        <v>73</v>
      </c>
      <c r="H150" s="221">
        <v>9027057.7763734404</v>
      </c>
      <c r="I150" s="221">
        <v>0</v>
      </c>
      <c r="J150" s="221">
        <v>7629645.1323940959</v>
      </c>
      <c r="K150" s="221">
        <v>1397412.6439793445</v>
      </c>
    </row>
    <row r="151" spans="1:11" ht="18" customHeight="1" x14ac:dyDescent="0.2">
      <c r="B151" s="421"/>
      <c r="F151" s="478"/>
      <c r="G151" s="478"/>
      <c r="H151" s="478"/>
      <c r="I151" s="478"/>
      <c r="J151" s="478"/>
      <c r="K151" s="478"/>
    </row>
    <row r="152" spans="1:11" ht="18" customHeight="1" x14ac:dyDescent="0.2">
      <c r="A152" s="455" t="s">
        <v>165</v>
      </c>
      <c r="B152" s="421" t="s">
        <v>26</v>
      </c>
      <c r="F152" s="487">
        <v>147582.29143451905</v>
      </c>
      <c r="G152" s="487">
        <v>12885</v>
      </c>
      <c r="H152" s="487">
        <v>30414946.076373443</v>
      </c>
      <c r="I152" s="487">
        <v>10348845.55537642</v>
      </c>
      <c r="J152" s="487">
        <v>7910208.7723940955</v>
      </c>
      <c r="K152" s="487">
        <v>38134582.859355778</v>
      </c>
    </row>
    <row r="153" spans="1:11" ht="18" customHeight="1" x14ac:dyDescent="0.2"/>
    <row r="154" spans="1:11" ht="18" customHeight="1" x14ac:dyDescent="0.2">
      <c r="A154" s="455" t="s">
        <v>168</v>
      </c>
      <c r="B154" s="421" t="s">
        <v>28</v>
      </c>
      <c r="F154" s="140">
        <v>0.11283355680161604</v>
      </c>
    </row>
    <row r="155" spans="1:11" ht="18" customHeight="1" x14ac:dyDescent="0.2">
      <c r="A155" s="455" t="s">
        <v>169</v>
      </c>
      <c r="B155" s="421" t="s">
        <v>72</v>
      </c>
      <c r="F155" s="140">
        <v>1.369235677690416</v>
      </c>
      <c r="G155" s="421"/>
    </row>
    <row r="156" spans="1:11" ht="18" customHeight="1" x14ac:dyDescent="0.2">
      <c r="G156" s="421"/>
    </row>
  </sheetData>
  <sheetProtection algorithmName="SHA-512" hashValue="E6SmePEBNk9opTbjKyIMjZSK5Pjwbhr9a46ciH4L9mhvsMbyoi1ZTnYKdAQH+VXICM0IoKOdP8cLkuCRaeScBA==" saltValue="iapwGunptrY25I/2g6v6eg==" spinCount="100000" sheet="1" objects="1" scenarios="1"/>
  <mergeCells count="34">
    <mergeCell ref="B94:D94"/>
    <mergeCell ref="B41:C41"/>
    <mergeCell ref="D2:H2"/>
    <mergeCell ref="C5:G5"/>
    <mergeCell ref="C6:G6"/>
    <mergeCell ref="B62:D62"/>
    <mergeCell ref="C7:G7"/>
    <mergeCell ref="C9:G9"/>
    <mergeCell ref="C10:G10"/>
    <mergeCell ref="C11:G11"/>
    <mergeCell ref="B13:H13"/>
    <mergeCell ref="B30:D30"/>
    <mergeCell ref="B31:D31"/>
    <mergeCell ref="B34:D34"/>
    <mergeCell ref="B90:C90"/>
    <mergeCell ref="B44:D44"/>
    <mergeCell ref="B106:D106"/>
    <mergeCell ref="B133:D133"/>
    <mergeCell ref="B134:D134"/>
    <mergeCell ref="B135:D135"/>
    <mergeCell ref="B95:D95"/>
    <mergeCell ref="B96:D96"/>
    <mergeCell ref="B103:C103"/>
    <mergeCell ref="B104:D104"/>
    <mergeCell ref="B105:D105"/>
    <mergeCell ref="B55:D55"/>
    <mergeCell ref="B56:D56"/>
    <mergeCell ref="B57:D57"/>
    <mergeCell ref="B59:D59"/>
    <mergeCell ref="B45:D45"/>
    <mergeCell ref="B46:D46"/>
    <mergeCell ref="B47:D47"/>
    <mergeCell ref="B52:C52"/>
    <mergeCell ref="B53:D53"/>
  </mergeCells>
  <pageMargins left="0.7" right="0.7" top="0.75" bottom="0.75" header="0.3" footer="0.3"/>
  <pageSetup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59999389629810485"/>
    <pageSetUpPr fitToPage="1"/>
  </sheetPr>
  <dimension ref="A1:F55"/>
  <sheetViews>
    <sheetView zoomScaleNormal="100" workbookViewId="0">
      <selection activeCell="D4" sqref="D4"/>
    </sheetView>
  </sheetViews>
  <sheetFormatPr defaultColWidth="9.28515625" defaultRowHeight="12.75" x14ac:dyDescent="0.2"/>
  <cols>
    <col min="1" max="1" width="18.42578125" customWidth="1"/>
    <col min="2" max="2" width="51.7109375" bestFit="1" customWidth="1"/>
    <col min="3" max="3" width="19.28515625" bestFit="1" customWidth="1"/>
    <col min="4" max="4" width="20.5703125" customWidth="1"/>
    <col min="5" max="5" width="23.28515625" customWidth="1"/>
    <col min="6" max="6" width="25" customWidth="1"/>
  </cols>
  <sheetData>
    <row r="1" spans="1:6" ht="23.25" x14ac:dyDescent="0.35">
      <c r="A1" s="222" t="s">
        <v>855</v>
      </c>
      <c r="B1" s="184"/>
      <c r="C1" s="184"/>
      <c r="D1" s="185"/>
      <c r="E1" s="186"/>
      <c r="F1" s="183"/>
    </row>
    <row r="2" spans="1:6" ht="15" x14ac:dyDescent="0.25">
      <c r="A2" s="308" t="s">
        <v>600</v>
      </c>
      <c r="B2" s="308" t="s">
        <v>197</v>
      </c>
      <c r="C2" s="309" t="s">
        <v>200</v>
      </c>
      <c r="D2" s="310" t="s">
        <v>475</v>
      </c>
      <c r="E2" s="309" t="s">
        <v>527</v>
      </c>
      <c r="F2" s="311" t="s">
        <v>431</v>
      </c>
    </row>
    <row r="3" spans="1:6" ht="15" x14ac:dyDescent="0.25">
      <c r="A3" s="296">
        <v>210001</v>
      </c>
      <c r="B3" s="296" t="s">
        <v>194</v>
      </c>
      <c r="C3" s="354">
        <v>0</v>
      </c>
      <c r="D3" s="354">
        <v>321748.76</v>
      </c>
      <c r="E3" s="355">
        <v>4736136.7278773095</v>
      </c>
      <c r="F3" s="355">
        <f>C3+D3+E3</f>
        <v>5057885.4878773093</v>
      </c>
    </row>
    <row r="4" spans="1:6" ht="15" x14ac:dyDescent="0.25">
      <c r="A4" s="298" t="s">
        <v>817</v>
      </c>
      <c r="B4" s="296" t="s">
        <v>818</v>
      </c>
      <c r="C4" s="354">
        <f>105607955.371316+11572869.0778789</f>
        <v>117180824.44919491</v>
      </c>
      <c r="D4" s="354">
        <f>1345458.4+202325.4</f>
        <v>1547783.7999999998</v>
      </c>
      <c r="E4" s="355">
        <v>16505857.095486123</v>
      </c>
      <c r="F4" s="355">
        <f t="shared" ref="F4:F52" si="0">C4+D4+E4</f>
        <v>135234465.34468102</v>
      </c>
    </row>
    <row r="5" spans="1:6" ht="15" x14ac:dyDescent="0.25">
      <c r="A5" s="298" t="s">
        <v>819</v>
      </c>
      <c r="B5" s="296" t="s">
        <v>854</v>
      </c>
      <c r="C5" s="354">
        <v>5392003.5499999998</v>
      </c>
      <c r="D5" s="354">
        <f>285682.6+106117.5</f>
        <v>391800.1</v>
      </c>
      <c r="E5" s="355">
        <f>9567720.2952+3142965.16836</f>
        <v>12710685.46356</v>
      </c>
      <c r="F5" s="355">
        <f t="shared" si="0"/>
        <v>18494489.113559999</v>
      </c>
    </row>
    <row r="6" spans="1:6" ht="15" x14ac:dyDescent="0.25">
      <c r="A6" s="296">
        <v>210004</v>
      </c>
      <c r="B6" s="296" t="s">
        <v>528</v>
      </c>
      <c r="C6" s="354">
        <v>2663635.3437493006</v>
      </c>
      <c r="D6" s="354">
        <v>505712.4</v>
      </c>
      <c r="E6" s="355">
        <v>29480772.849653997</v>
      </c>
      <c r="F6" s="355">
        <f t="shared" si="0"/>
        <v>32650120.593403298</v>
      </c>
    </row>
    <row r="7" spans="1:6" ht="15" x14ac:dyDescent="0.25">
      <c r="A7" s="296">
        <v>210005</v>
      </c>
      <c r="B7" s="296" t="s">
        <v>820</v>
      </c>
      <c r="C7" s="354">
        <v>0</v>
      </c>
      <c r="D7" s="354">
        <v>363795.7</v>
      </c>
      <c r="E7" s="355">
        <v>6315042.4263199996</v>
      </c>
      <c r="F7" s="355">
        <f t="shared" si="0"/>
        <v>6678838.1263199998</v>
      </c>
    </row>
    <row r="8" spans="1:6" ht="15" x14ac:dyDescent="0.25">
      <c r="A8" s="296">
        <v>210006</v>
      </c>
      <c r="B8" s="296" t="s">
        <v>821</v>
      </c>
      <c r="C8" s="354">
        <v>0</v>
      </c>
      <c r="D8" s="354">
        <v>104106.1</v>
      </c>
      <c r="E8" s="355">
        <v>1476119.9006477029</v>
      </c>
      <c r="F8" s="355">
        <f t="shared" si="0"/>
        <v>1580226.000647703</v>
      </c>
    </row>
    <row r="9" spans="1:6" ht="15" x14ac:dyDescent="0.25">
      <c r="A9" s="296">
        <v>210008</v>
      </c>
      <c r="B9" s="296" t="s">
        <v>822</v>
      </c>
      <c r="C9" s="354">
        <v>5047339.4304400003</v>
      </c>
      <c r="D9" s="354">
        <v>513599.60000000003</v>
      </c>
      <c r="E9" s="355">
        <v>15544957.799371</v>
      </c>
      <c r="F9" s="355">
        <f t="shared" si="0"/>
        <v>21105896.829810999</v>
      </c>
    </row>
    <row r="10" spans="1:6" ht="15" x14ac:dyDescent="0.25">
      <c r="A10" s="296">
        <v>210009</v>
      </c>
      <c r="B10" s="296" t="s">
        <v>529</v>
      </c>
      <c r="C10" s="354">
        <v>115134967</v>
      </c>
      <c r="D10" s="354">
        <v>2282683.4</v>
      </c>
      <c r="E10" s="355">
        <v>29663924.744571742</v>
      </c>
      <c r="F10" s="355">
        <f t="shared" si="0"/>
        <v>147081575.14457175</v>
      </c>
    </row>
    <row r="11" spans="1:6" ht="15" x14ac:dyDescent="0.25">
      <c r="A11" s="296">
        <v>210010</v>
      </c>
      <c r="B11" s="296" t="s">
        <v>823</v>
      </c>
      <c r="C11" s="354">
        <v>0</v>
      </c>
      <c r="D11" s="354">
        <v>51452.800000000003</v>
      </c>
      <c r="E11" s="355">
        <v>636456.29286358028</v>
      </c>
      <c r="F11" s="355">
        <f t="shared" si="0"/>
        <v>687909.09286358033</v>
      </c>
    </row>
    <row r="12" spans="1:6" ht="15" x14ac:dyDescent="0.25">
      <c r="A12" s="296">
        <v>210011</v>
      </c>
      <c r="B12" s="296" t="s">
        <v>824</v>
      </c>
      <c r="C12" s="354">
        <v>8121089.5770394159</v>
      </c>
      <c r="D12" s="354">
        <v>432204.4</v>
      </c>
      <c r="E12" s="355">
        <v>23124503.185128</v>
      </c>
      <c r="F12" s="355">
        <f t="shared" si="0"/>
        <v>31677797.162167415</v>
      </c>
    </row>
    <row r="13" spans="1:6" ht="15" x14ac:dyDescent="0.25">
      <c r="A13" s="296">
        <v>210012</v>
      </c>
      <c r="B13" s="296" t="s">
        <v>825</v>
      </c>
      <c r="C13" s="354">
        <v>15700811.407664713</v>
      </c>
      <c r="D13" s="354">
        <v>732671.6</v>
      </c>
      <c r="E13" s="355">
        <v>6268158.3053100007</v>
      </c>
      <c r="F13" s="355">
        <f t="shared" si="0"/>
        <v>22701641.312974714</v>
      </c>
    </row>
    <row r="14" spans="1:6" ht="15" x14ac:dyDescent="0.25">
      <c r="A14" s="296">
        <v>210013</v>
      </c>
      <c r="B14" s="296" t="s">
        <v>826</v>
      </c>
      <c r="C14" s="354">
        <v>0</v>
      </c>
      <c r="D14" s="354">
        <v>106732.3</v>
      </c>
      <c r="E14" s="355">
        <v>624231.97131700208</v>
      </c>
      <c r="F14" s="355">
        <f t="shared" si="0"/>
        <v>730964.27131700213</v>
      </c>
    </row>
    <row r="15" spans="1:6" ht="15" x14ac:dyDescent="0.25">
      <c r="A15" s="296">
        <v>210015</v>
      </c>
      <c r="B15" s="296" t="s">
        <v>827</v>
      </c>
      <c r="C15" s="354">
        <v>8972941.7117724195</v>
      </c>
      <c r="D15" s="354">
        <v>505736.10000000003</v>
      </c>
      <c r="E15" s="355">
        <v>8190971.393916578</v>
      </c>
      <c r="F15" s="355">
        <f t="shared" si="0"/>
        <v>17669649.205688998</v>
      </c>
    </row>
    <row r="16" spans="1:6" ht="15" x14ac:dyDescent="0.25">
      <c r="A16" s="296">
        <v>210016</v>
      </c>
      <c r="B16" s="296" t="s">
        <v>828</v>
      </c>
      <c r="C16" s="354">
        <v>0</v>
      </c>
      <c r="D16" s="354">
        <v>263177.90000000002</v>
      </c>
      <c r="E16" s="355">
        <v>7371752.186879999</v>
      </c>
      <c r="F16" s="355">
        <f t="shared" si="0"/>
        <v>7634930.0868799994</v>
      </c>
    </row>
    <row r="17" spans="1:6" ht="15" x14ac:dyDescent="0.25">
      <c r="A17" s="296">
        <v>210017</v>
      </c>
      <c r="B17" s="296" t="s">
        <v>829</v>
      </c>
      <c r="C17" s="354">
        <v>0</v>
      </c>
      <c r="D17" s="354">
        <v>48479.700000000004</v>
      </c>
      <c r="E17" s="355">
        <v>2457098.0852615172</v>
      </c>
      <c r="F17" s="355">
        <f t="shared" si="0"/>
        <v>2505577.7852615174</v>
      </c>
    </row>
    <row r="18" spans="1:6" ht="15" x14ac:dyDescent="0.25">
      <c r="A18" s="296">
        <v>210018</v>
      </c>
      <c r="B18" s="296" t="s">
        <v>830</v>
      </c>
      <c r="C18" s="354">
        <v>-4.0841624455717996E-3</v>
      </c>
      <c r="D18" s="354">
        <v>175827.97700000001</v>
      </c>
      <c r="E18" s="355">
        <v>2407213.2443371769</v>
      </c>
      <c r="F18" s="355">
        <f t="shared" si="0"/>
        <v>2583041.2172530144</v>
      </c>
    </row>
    <row r="19" spans="1:6" ht="15" x14ac:dyDescent="0.25">
      <c r="A19" s="296">
        <v>210019</v>
      </c>
      <c r="B19" s="296" t="s">
        <v>450</v>
      </c>
      <c r="C19" s="354">
        <v>0</v>
      </c>
      <c r="D19" s="354">
        <v>430070.8</v>
      </c>
      <c r="E19" s="355">
        <v>8185920.0021021189</v>
      </c>
      <c r="F19" s="355">
        <f t="shared" si="0"/>
        <v>8615990.8021021187</v>
      </c>
    </row>
    <row r="20" spans="1:6" ht="15" x14ac:dyDescent="0.25">
      <c r="A20" s="296">
        <v>210022</v>
      </c>
      <c r="B20" s="296" t="s">
        <v>831</v>
      </c>
      <c r="C20" s="354">
        <v>498335.62116857147</v>
      </c>
      <c r="D20" s="354">
        <v>301899.2</v>
      </c>
      <c r="E20" s="355">
        <v>3772661.5291915196</v>
      </c>
      <c r="F20" s="355">
        <f t="shared" si="0"/>
        <v>4572896.3503600908</v>
      </c>
    </row>
    <row r="21" spans="1:6" ht="15" x14ac:dyDescent="0.25">
      <c r="A21" s="296">
        <v>210023</v>
      </c>
      <c r="B21" s="296" t="s">
        <v>832</v>
      </c>
      <c r="C21" s="354">
        <v>581745.88224000006</v>
      </c>
      <c r="D21" s="354">
        <v>576313.30000000005</v>
      </c>
      <c r="E21" s="355">
        <v>4083657.2869230006</v>
      </c>
      <c r="F21" s="355">
        <f t="shared" si="0"/>
        <v>5241716.4691630006</v>
      </c>
    </row>
    <row r="22" spans="1:6" ht="15" x14ac:dyDescent="0.25">
      <c r="A22" s="296">
        <v>210024</v>
      </c>
      <c r="B22" s="296" t="s">
        <v>452</v>
      </c>
      <c r="C22" s="354">
        <v>13391966.291650048</v>
      </c>
      <c r="D22" s="354">
        <v>426343.8</v>
      </c>
      <c r="E22" s="355">
        <v>7578926.7257620916</v>
      </c>
      <c r="F22" s="355">
        <f t="shared" si="0"/>
        <v>21397236.817412138</v>
      </c>
    </row>
    <row r="23" spans="1:6" ht="15" x14ac:dyDescent="0.25">
      <c r="A23" s="296">
        <v>210027</v>
      </c>
      <c r="B23" s="296" t="s">
        <v>833</v>
      </c>
      <c r="C23" s="354">
        <v>0</v>
      </c>
      <c r="D23" s="354">
        <v>325608</v>
      </c>
      <c r="E23" s="355">
        <v>9443041.7315400001</v>
      </c>
      <c r="F23" s="355">
        <f t="shared" si="0"/>
        <v>9768649.7315400001</v>
      </c>
    </row>
    <row r="24" spans="1:6" ht="15" x14ac:dyDescent="0.25">
      <c r="A24" s="296">
        <v>210028</v>
      </c>
      <c r="B24" s="296" t="s">
        <v>834</v>
      </c>
      <c r="C24" s="354">
        <v>0</v>
      </c>
      <c r="D24" s="354">
        <v>178043.9</v>
      </c>
      <c r="E24" s="355">
        <v>4335333.6622199994</v>
      </c>
      <c r="F24" s="355">
        <f t="shared" si="0"/>
        <v>4513377.5622199997</v>
      </c>
    </row>
    <row r="25" spans="1:6" ht="15" x14ac:dyDescent="0.25">
      <c r="A25" s="296">
        <v>210029</v>
      </c>
      <c r="B25" s="296" t="s">
        <v>835</v>
      </c>
      <c r="C25" s="354">
        <v>22133583</v>
      </c>
      <c r="D25" s="354">
        <v>643455.4</v>
      </c>
      <c r="E25" s="355">
        <v>18323641.014118765</v>
      </c>
      <c r="F25" s="355">
        <f t="shared" si="0"/>
        <v>41100679.414118767</v>
      </c>
    </row>
    <row r="26" spans="1:6" ht="15" x14ac:dyDescent="0.25">
      <c r="A26" s="296">
        <v>210030</v>
      </c>
      <c r="B26" s="296" t="s">
        <v>836</v>
      </c>
      <c r="C26" s="354">
        <v>0</v>
      </c>
      <c r="D26" s="354">
        <v>60065.200000000004</v>
      </c>
      <c r="E26" s="355">
        <v>412473.61081842968</v>
      </c>
      <c r="F26" s="355">
        <f t="shared" si="0"/>
        <v>472538.81081842969</v>
      </c>
    </row>
    <row r="27" spans="1:6" ht="15" x14ac:dyDescent="0.25">
      <c r="A27" s="296">
        <v>210032</v>
      </c>
      <c r="B27" s="296" t="s">
        <v>230</v>
      </c>
      <c r="C27" s="354">
        <v>0</v>
      </c>
      <c r="D27" s="354">
        <v>160304</v>
      </c>
      <c r="E27" s="355">
        <v>1497838.7798279999</v>
      </c>
      <c r="F27" s="355">
        <f t="shared" si="0"/>
        <v>1658142.7798279999</v>
      </c>
    </row>
    <row r="28" spans="1:6" ht="15" x14ac:dyDescent="0.25">
      <c r="A28" s="296">
        <v>210033</v>
      </c>
      <c r="B28" s="296" t="s">
        <v>837</v>
      </c>
      <c r="C28" s="354">
        <v>0</v>
      </c>
      <c r="D28" s="354">
        <v>254064.5</v>
      </c>
      <c r="E28" s="355">
        <v>802578.83375807991</v>
      </c>
      <c r="F28" s="355">
        <f t="shared" si="0"/>
        <v>1056643.3337580799</v>
      </c>
    </row>
    <row r="29" spans="1:6" ht="15" x14ac:dyDescent="0.25">
      <c r="A29" s="296">
        <v>210034</v>
      </c>
      <c r="B29" s="296" t="s">
        <v>838</v>
      </c>
      <c r="C29" s="354">
        <v>5191474.4526477475</v>
      </c>
      <c r="D29" s="354">
        <v>194368.9</v>
      </c>
      <c r="E29" s="355">
        <v>5065512.4249235215</v>
      </c>
      <c r="F29" s="355">
        <f t="shared" si="0"/>
        <v>10451355.777571268</v>
      </c>
    </row>
    <row r="30" spans="1:6" ht="15" x14ac:dyDescent="0.25">
      <c r="A30" s="296">
        <v>210035</v>
      </c>
      <c r="B30" s="296" t="s">
        <v>839</v>
      </c>
      <c r="C30" s="354">
        <v>0</v>
      </c>
      <c r="D30" s="354">
        <v>148692.70000000001</v>
      </c>
      <c r="E30" s="355">
        <v>966136.48200649431</v>
      </c>
      <c r="F30" s="355">
        <f t="shared" si="0"/>
        <v>1114829.1820064944</v>
      </c>
    </row>
    <row r="31" spans="1:6" ht="15" x14ac:dyDescent="0.25">
      <c r="A31" s="296">
        <v>210037</v>
      </c>
      <c r="B31" s="296" t="s">
        <v>840</v>
      </c>
      <c r="C31" s="354">
        <v>0</v>
      </c>
      <c r="D31" s="354">
        <v>199614.1</v>
      </c>
      <c r="E31" s="355">
        <v>2394487.0618318403</v>
      </c>
      <c r="F31" s="355">
        <f t="shared" si="0"/>
        <v>2594101.1618318404</v>
      </c>
    </row>
    <row r="32" spans="1:6" ht="15" x14ac:dyDescent="0.25">
      <c r="A32" s="296">
        <v>210038</v>
      </c>
      <c r="B32" s="296" t="s">
        <v>841</v>
      </c>
      <c r="C32" s="354">
        <v>4365082.7596828118</v>
      </c>
      <c r="D32" s="354">
        <v>226817</v>
      </c>
      <c r="E32" s="355">
        <v>4573586.5371222785</v>
      </c>
      <c r="F32" s="355">
        <f t="shared" si="0"/>
        <v>9165486.2968050912</v>
      </c>
    </row>
    <row r="33" spans="1:6" ht="15" x14ac:dyDescent="0.25">
      <c r="A33" s="296">
        <v>210039</v>
      </c>
      <c r="B33" s="296" t="s">
        <v>842</v>
      </c>
      <c r="C33" s="354">
        <v>0</v>
      </c>
      <c r="D33" s="354">
        <v>146698.6</v>
      </c>
      <c r="E33" s="355">
        <v>4279043.9427839993</v>
      </c>
      <c r="F33" s="355">
        <f t="shared" si="0"/>
        <v>4425742.5427839989</v>
      </c>
    </row>
    <row r="34" spans="1:6" ht="15" x14ac:dyDescent="0.25">
      <c r="A34" s="296">
        <v>210040</v>
      </c>
      <c r="B34" s="296" t="s">
        <v>575</v>
      </c>
      <c r="C34" s="354">
        <v>0</v>
      </c>
      <c r="D34" s="354">
        <v>257944.7</v>
      </c>
      <c r="E34" s="355">
        <v>2599234.4964121915</v>
      </c>
      <c r="F34" s="355">
        <f t="shared" si="0"/>
        <v>2857179.1964121917</v>
      </c>
    </row>
    <row r="35" spans="1:6" ht="15" x14ac:dyDescent="0.25">
      <c r="A35" s="296">
        <v>210043</v>
      </c>
      <c r="B35" s="296" t="s">
        <v>843</v>
      </c>
      <c r="C35" s="354">
        <v>631516.70907488</v>
      </c>
      <c r="D35" s="354">
        <v>413064.2</v>
      </c>
      <c r="E35" s="355">
        <v>6023616.6413664641</v>
      </c>
      <c r="F35" s="355">
        <f t="shared" si="0"/>
        <v>7068197.5504413443</v>
      </c>
    </row>
    <row r="36" spans="1:6" ht="15" x14ac:dyDescent="0.25">
      <c r="A36" s="296">
        <v>210044</v>
      </c>
      <c r="B36" s="296" t="s">
        <v>518</v>
      </c>
      <c r="C36" s="354">
        <v>8348758.0730863102</v>
      </c>
      <c r="D36" s="354">
        <v>439684.2</v>
      </c>
      <c r="E36" s="355">
        <v>2188896.98659926</v>
      </c>
      <c r="F36" s="355">
        <f t="shared" si="0"/>
        <v>10977339.259685569</v>
      </c>
    </row>
    <row r="37" spans="1:6" ht="15" x14ac:dyDescent="0.25">
      <c r="A37" s="296">
        <v>210045</v>
      </c>
      <c r="B37" s="296" t="s">
        <v>844</v>
      </c>
      <c r="C37" s="354">
        <v>0</v>
      </c>
      <c r="D37" s="354">
        <v>16309.2</v>
      </c>
      <c r="E37" s="355">
        <v>228989.33102499999</v>
      </c>
      <c r="F37" s="355">
        <f t="shared" si="0"/>
        <v>245298.531025</v>
      </c>
    </row>
    <row r="38" spans="1:6" ht="15" x14ac:dyDescent="0.25">
      <c r="A38" s="296">
        <v>210048</v>
      </c>
      <c r="B38" s="296" t="s">
        <v>285</v>
      </c>
      <c r="C38" s="354">
        <v>0</v>
      </c>
      <c r="D38" s="354">
        <v>297946.2</v>
      </c>
      <c r="E38" s="355">
        <v>4684589.3325000005</v>
      </c>
      <c r="F38" s="355">
        <f t="shared" si="0"/>
        <v>4982535.5325000007</v>
      </c>
    </row>
    <row r="39" spans="1:6" ht="15" x14ac:dyDescent="0.25">
      <c r="A39" s="296">
        <v>210049</v>
      </c>
      <c r="B39" s="296" t="s">
        <v>845</v>
      </c>
      <c r="C39" s="354">
        <v>0</v>
      </c>
      <c r="D39" s="354">
        <v>330967</v>
      </c>
      <c r="E39" s="355">
        <v>5252699.976787135</v>
      </c>
      <c r="F39" s="355">
        <f t="shared" si="0"/>
        <v>5583666.976787135</v>
      </c>
    </row>
    <row r="40" spans="1:6" ht="15" x14ac:dyDescent="0.25">
      <c r="A40" s="296">
        <v>210051</v>
      </c>
      <c r="B40" s="296" t="s">
        <v>846</v>
      </c>
      <c r="C40" s="354">
        <v>0</v>
      </c>
      <c r="D40" s="354">
        <v>234045.5</v>
      </c>
      <c r="E40" s="355">
        <v>8723983.4762507994</v>
      </c>
      <c r="F40" s="355">
        <f t="shared" si="0"/>
        <v>8958028.9762507994</v>
      </c>
    </row>
    <row r="41" spans="1:6" ht="15" x14ac:dyDescent="0.25">
      <c r="A41" s="296">
        <v>210056</v>
      </c>
      <c r="B41" s="299" t="s">
        <v>459</v>
      </c>
      <c r="C41" s="354">
        <v>4379484.8807514366</v>
      </c>
      <c r="D41" s="354">
        <v>289108.8</v>
      </c>
      <c r="E41" s="355">
        <v>5908643.6511743991</v>
      </c>
      <c r="F41" s="355">
        <f t="shared" si="0"/>
        <v>10577237.331925835</v>
      </c>
    </row>
    <row r="42" spans="1:6" ht="15" x14ac:dyDescent="0.25">
      <c r="A42" s="296">
        <v>210057</v>
      </c>
      <c r="B42" s="299" t="s">
        <v>847</v>
      </c>
      <c r="C42" s="354">
        <v>0</v>
      </c>
      <c r="D42" s="354">
        <v>388714.39999999997</v>
      </c>
      <c r="E42" s="355">
        <v>3058878.8344400004</v>
      </c>
      <c r="F42" s="355">
        <f t="shared" si="0"/>
        <v>3447593.2344400003</v>
      </c>
    </row>
    <row r="43" spans="1:6" ht="15" x14ac:dyDescent="0.25">
      <c r="A43" s="296">
        <v>210058</v>
      </c>
      <c r="B43" s="299" t="s">
        <v>848</v>
      </c>
      <c r="C43" s="354">
        <v>3818820.3251999998</v>
      </c>
      <c r="D43" s="354">
        <v>118766.8</v>
      </c>
      <c r="E43" s="355">
        <v>0</v>
      </c>
      <c r="F43" s="355">
        <f t="shared" si="0"/>
        <v>3937587.1251999997</v>
      </c>
    </row>
    <row r="44" spans="1:6" ht="15" x14ac:dyDescent="0.25">
      <c r="A44" s="296">
        <v>210060</v>
      </c>
      <c r="B44" s="299" t="s">
        <v>232</v>
      </c>
      <c r="C44" s="354">
        <v>0</v>
      </c>
      <c r="D44" s="354">
        <v>48727.769</v>
      </c>
      <c r="E44" s="355">
        <v>1087071.6580761801</v>
      </c>
      <c r="F44" s="355">
        <f t="shared" si="0"/>
        <v>1135799.4270761802</v>
      </c>
    </row>
    <row r="45" spans="1:6" ht="15" x14ac:dyDescent="0.25">
      <c r="A45" s="296">
        <v>210061</v>
      </c>
      <c r="B45" s="299" t="s">
        <v>242</v>
      </c>
      <c r="C45" s="354">
        <v>0</v>
      </c>
      <c r="D45" s="354">
        <v>105461.5</v>
      </c>
      <c r="E45" s="355">
        <v>2722729.1859949999</v>
      </c>
      <c r="F45" s="355">
        <f t="shared" si="0"/>
        <v>2828190.6859949999</v>
      </c>
    </row>
    <row r="46" spans="1:6" s="150" customFormat="1" ht="15" x14ac:dyDescent="0.25">
      <c r="A46" s="296">
        <v>210062</v>
      </c>
      <c r="B46" s="299" t="s">
        <v>849</v>
      </c>
      <c r="C46" s="354">
        <v>0</v>
      </c>
      <c r="D46" s="354">
        <v>271938.7</v>
      </c>
      <c r="E46" s="355">
        <v>5084691.2335352004</v>
      </c>
      <c r="F46" s="355">
        <f t="shared" si="0"/>
        <v>5356629.9335352005</v>
      </c>
    </row>
    <row r="47" spans="1:6" s="150" customFormat="1" ht="15" x14ac:dyDescent="0.25">
      <c r="A47" s="296">
        <v>210063</v>
      </c>
      <c r="B47" s="299" t="s">
        <v>850</v>
      </c>
      <c r="C47" s="354">
        <v>0</v>
      </c>
      <c r="D47" s="354">
        <v>402082.7</v>
      </c>
      <c r="E47" s="355">
        <v>5363889.8433091566</v>
      </c>
      <c r="F47" s="355">
        <f t="shared" si="0"/>
        <v>5765972.5433091568</v>
      </c>
    </row>
    <row r="48" spans="1:6" ht="15" x14ac:dyDescent="0.25">
      <c r="A48" s="296">
        <v>210064</v>
      </c>
      <c r="B48" s="299" t="s">
        <v>198</v>
      </c>
      <c r="C48" s="354">
        <v>0</v>
      </c>
      <c r="D48" s="354">
        <v>60312.800000000003</v>
      </c>
      <c r="E48" s="355">
        <v>0</v>
      </c>
      <c r="F48" s="355">
        <f t="shared" si="0"/>
        <v>60312.800000000003</v>
      </c>
    </row>
    <row r="49" spans="1:6" ht="15" x14ac:dyDescent="0.25">
      <c r="A49" s="296">
        <v>210065</v>
      </c>
      <c r="B49" s="299" t="s">
        <v>851</v>
      </c>
      <c r="C49" s="354">
        <v>0</v>
      </c>
      <c r="D49" s="354">
        <v>80883.3</v>
      </c>
      <c r="E49" s="355">
        <v>5384740.8035159996</v>
      </c>
      <c r="F49" s="355">
        <f t="shared" si="0"/>
        <v>5465624.1035159994</v>
      </c>
    </row>
    <row r="50" spans="1:6" ht="15" x14ac:dyDescent="0.25">
      <c r="A50" s="296">
        <v>213300</v>
      </c>
      <c r="B50" s="299" t="s">
        <v>852</v>
      </c>
      <c r="C50" s="354">
        <v>0</v>
      </c>
      <c r="D50" s="354">
        <v>58585.9</v>
      </c>
      <c r="E50" s="355">
        <v>0</v>
      </c>
      <c r="F50" s="355">
        <f t="shared" si="0"/>
        <v>58585.9</v>
      </c>
    </row>
    <row r="51" spans="1:6" ht="15" x14ac:dyDescent="0.25">
      <c r="A51" s="296">
        <v>214000</v>
      </c>
      <c r="B51" s="299" t="s">
        <v>199</v>
      </c>
      <c r="C51" s="354">
        <v>2525139.1799999992</v>
      </c>
      <c r="D51" s="354">
        <v>145348.80000000002</v>
      </c>
      <c r="E51" s="355">
        <v>0</v>
      </c>
      <c r="F51" s="355">
        <f t="shared" si="0"/>
        <v>2670487.9799999991</v>
      </c>
    </row>
    <row r="52" spans="1:6" ht="15" x14ac:dyDescent="0.25">
      <c r="A52" s="296">
        <v>213029</v>
      </c>
      <c r="B52" s="299" t="s">
        <v>853</v>
      </c>
      <c r="C52" s="354">
        <v>0</v>
      </c>
      <c r="D52" s="354">
        <v>59505.493000000002</v>
      </c>
      <c r="E52" s="355">
        <v>0</v>
      </c>
      <c r="F52" s="355">
        <f t="shared" si="0"/>
        <v>59505.493000000002</v>
      </c>
    </row>
    <row r="53" spans="1:6" ht="15" x14ac:dyDescent="0.25">
      <c r="A53" s="312"/>
      <c r="B53" s="313" t="s">
        <v>195</v>
      </c>
      <c r="C53" s="356">
        <f>SUM(C3:C52)</f>
        <v>344079519.64127845</v>
      </c>
      <c r="D53" s="356">
        <f t="shared" ref="D53:F53" si="1">SUM(D3:D52)</f>
        <v>16639269.998999998</v>
      </c>
      <c r="E53" s="356">
        <f t="shared" si="1"/>
        <v>301541376.74841863</v>
      </c>
      <c r="F53" s="356">
        <f t="shared" si="1"/>
        <v>662260166.38869727</v>
      </c>
    </row>
    <row r="54" spans="1:6" x14ac:dyDescent="0.2">
      <c r="C54" s="104"/>
      <c r="D54" s="104"/>
      <c r="E54" s="104"/>
      <c r="F54" s="104"/>
    </row>
    <row r="55" spans="1:6" x14ac:dyDescent="0.2">
      <c r="E55" s="104"/>
    </row>
  </sheetData>
  <sheetProtection algorithmName="SHA-512" hashValue="dStD0P8xPcMyiab8Y2Kb2dNuu3TAs8yGgftYoVHknUxDMgVtvj/G/ykiqlOswLdQb0GYAhPTznLLr/+Fg3xMYQ==" saltValue="JX8Eb+qvq2X/Q1hCpYs+tw==" spinCount="100000" sheet="1" objects="1" scenarios="1"/>
  <sortState ref="A5:F57">
    <sortCondition ref="A5:A57"/>
  </sortState>
  <pageMargins left="0.7" right="0.7" top="0.75" bottom="0.75" header="0.3" footer="0.3"/>
  <pageSetup scale="6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156"/>
  <sheetViews>
    <sheetView showGridLines="0" zoomScale="80" zoomScaleNormal="8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461</v>
      </c>
      <c r="D5" s="437"/>
      <c r="E5" s="437"/>
      <c r="F5" s="437"/>
      <c r="G5" s="438"/>
    </row>
    <row r="6" spans="1:11" ht="18" customHeight="1" x14ac:dyDescent="0.2">
      <c r="B6" s="435" t="s">
        <v>3</v>
      </c>
      <c r="C6" s="439">
        <v>64</v>
      </c>
      <c r="D6" s="440"/>
      <c r="E6" s="440"/>
      <c r="F6" s="440"/>
      <c r="G6" s="441"/>
    </row>
    <row r="7" spans="1:11" ht="18" customHeight="1" x14ac:dyDescent="0.2">
      <c r="B7" s="435" t="s">
        <v>4</v>
      </c>
      <c r="C7" s="492">
        <v>884</v>
      </c>
      <c r="D7" s="493"/>
      <c r="E7" s="493"/>
      <c r="F7" s="493"/>
      <c r="G7" s="494"/>
    </row>
    <row r="9" spans="1:11" ht="18" customHeight="1" x14ac:dyDescent="0.2">
      <c r="B9" s="435" t="s">
        <v>1</v>
      </c>
      <c r="C9" s="436" t="s">
        <v>321</v>
      </c>
      <c r="D9" s="437"/>
      <c r="E9" s="437"/>
      <c r="F9" s="437"/>
      <c r="G9" s="438"/>
    </row>
    <row r="10" spans="1:11" ht="18" customHeight="1" x14ac:dyDescent="0.2">
      <c r="B10" s="435" t="s">
        <v>2</v>
      </c>
      <c r="C10" s="445" t="s">
        <v>322</v>
      </c>
      <c r="D10" s="446"/>
      <c r="E10" s="446"/>
      <c r="F10" s="446"/>
      <c r="G10" s="447"/>
    </row>
    <row r="11" spans="1:11" ht="18" customHeight="1" x14ac:dyDescent="0.2">
      <c r="B11" s="435" t="s">
        <v>32</v>
      </c>
      <c r="C11" s="495" t="s">
        <v>323</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1245562</v>
      </c>
      <c r="I18" s="133">
        <v>0</v>
      </c>
      <c r="J18" s="118">
        <v>1052746</v>
      </c>
      <c r="K18" s="118">
        <f>(H18+I18)-J18</f>
        <v>192816</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25</v>
      </c>
      <c r="G21" s="221">
        <v>98</v>
      </c>
      <c r="H21" s="118">
        <v>877</v>
      </c>
      <c r="I21" s="133">
        <f t="shared" ref="I21:I34" si="0">H21*F$114</f>
        <v>757.37720000000002</v>
      </c>
      <c r="J21" s="118"/>
      <c r="K21" s="118">
        <f t="shared" ref="K21:K34" si="1">(H21+I21)-J21</f>
        <v>1634.3771999999999</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v>14</v>
      </c>
      <c r="G25" s="221">
        <v>21</v>
      </c>
      <c r="H25" s="118">
        <v>651</v>
      </c>
      <c r="I25" s="133">
        <f t="shared" si="0"/>
        <v>562.20360000000005</v>
      </c>
      <c r="J25" s="118"/>
      <c r="K25" s="118">
        <f t="shared" si="1"/>
        <v>1213.2036000000001</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v>34</v>
      </c>
      <c r="G29" s="221">
        <v>87</v>
      </c>
      <c r="H29" s="118">
        <v>66793</v>
      </c>
      <c r="I29" s="133">
        <f t="shared" si="0"/>
        <v>57682.434800000003</v>
      </c>
      <c r="J29" s="118"/>
      <c r="K29" s="118">
        <f t="shared" si="1"/>
        <v>124475.4348</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73</v>
      </c>
      <c r="G36" s="221">
        <f t="shared" si="2"/>
        <v>206</v>
      </c>
      <c r="H36" s="221">
        <f t="shared" si="2"/>
        <v>68321</v>
      </c>
      <c r="I36" s="118">
        <f t="shared" si="2"/>
        <v>59002.015600000006</v>
      </c>
      <c r="J36" s="118">
        <f t="shared" si="2"/>
        <v>0</v>
      </c>
      <c r="K36" s="118">
        <f t="shared" si="2"/>
        <v>127323.0156</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f t="shared" ref="I40:I47" si="3">H40*F$114</f>
        <v>0</v>
      </c>
      <c r="J40" s="118"/>
      <c r="K40" s="118">
        <f t="shared" ref="K40:K47" si="4">(H40+I40)-J40</f>
        <v>0</v>
      </c>
    </row>
    <row r="41" spans="1:11" ht="18" customHeight="1" x14ac:dyDescent="0.2">
      <c r="A41" s="435" t="s">
        <v>88</v>
      </c>
      <c r="B41" s="465" t="s">
        <v>50</v>
      </c>
      <c r="C41" s="466"/>
      <c r="F41" s="221">
        <v>300</v>
      </c>
      <c r="G41" s="221"/>
      <c r="H41" s="118">
        <v>16009</v>
      </c>
      <c r="I41" s="133">
        <f t="shared" si="3"/>
        <v>13825.3724</v>
      </c>
      <c r="J41" s="118"/>
      <c r="K41" s="118">
        <f t="shared" si="4"/>
        <v>29834.3724</v>
      </c>
    </row>
    <row r="42" spans="1:11" ht="18" customHeight="1" x14ac:dyDescent="0.2">
      <c r="A42" s="435" t="s">
        <v>89</v>
      </c>
      <c r="B42" s="419" t="s">
        <v>11</v>
      </c>
      <c r="F42" s="221">
        <v>6460</v>
      </c>
      <c r="G42" s="221"/>
      <c r="H42" s="118">
        <v>264741</v>
      </c>
      <c r="I42" s="133">
        <f t="shared" si="3"/>
        <v>228630.32760000002</v>
      </c>
      <c r="J42" s="118">
        <v>34297</v>
      </c>
      <c r="K42" s="118">
        <f t="shared" si="4"/>
        <v>459074.32760000002</v>
      </c>
    </row>
    <row r="43" spans="1:11" ht="18" customHeight="1" x14ac:dyDescent="0.2">
      <c r="A43" s="435" t="s">
        <v>90</v>
      </c>
      <c r="B43" s="467" t="s">
        <v>10</v>
      </c>
      <c r="C43" s="468"/>
      <c r="D43" s="468"/>
      <c r="F43" s="221"/>
      <c r="G43" s="221"/>
      <c r="H43" s="118"/>
      <c r="I43" s="133">
        <f t="shared" si="3"/>
        <v>0</v>
      </c>
      <c r="J43" s="118"/>
      <c r="K43" s="118">
        <f t="shared" si="4"/>
        <v>0</v>
      </c>
    </row>
    <row r="44" spans="1:11" ht="18" customHeight="1" x14ac:dyDescent="0.2">
      <c r="A44" s="435" t="s">
        <v>91</v>
      </c>
      <c r="B44" s="456"/>
      <c r="C44" s="457"/>
      <c r="D44" s="458"/>
      <c r="F44" s="407"/>
      <c r="G44" s="407"/>
      <c r="H44" s="407"/>
      <c r="I44" s="133">
        <f t="shared" si="3"/>
        <v>0</v>
      </c>
      <c r="J44" s="407"/>
      <c r="K44" s="134">
        <f t="shared" si="4"/>
        <v>0</v>
      </c>
    </row>
    <row r="45" spans="1:11" ht="18" customHeight="1" x14ac:dyDescent="0.2">
      <c r="A45" s="435" t="s">
        <v>139</v>
      </c>
      <c r="B45" s="456"/>
      <c r="C45" s="457"/>
      <c r="D45" s="458"/>
      <c r="F45" s="221"/>
      <c r="G45" s="221"/>
      <c r="H45" s="118"/>
      <c r="I45" s="133">
        <f t="shared" si="3"/>
        <v>0</v>
      </c>
      <c r="J45" s="118"/>
      <c r="K45" s="118">
        <f t="shared" si="4"/>
        <v>0</v>
      </c>
    </row>
    <row r="46" spans="1:11" ht="18" customHeight="1" x14ac:dyDescent="0.2">
      <c r="A46" s="435" t="s">
        <v>140</v>
      </c>
      <c r="B46" s="456"/>
      <c r="C46" s="457"/>
      <c r="D46" s="458"/>
      <c r="F46" s="221"/>
      <c r="G46" s="221"/>
      <c r="H46" s="118"/>
      <c r="I46" s="133">
        <f t="shared" si="3"/>
        <v>0</v>
      </c>
      <c r="J46" s="118"/>
      <c r="K46" s="118">
        <f t="shared" si="4"/>
        <v>0</v>
      </c>
    </row>
    <row r="47" spans="1:11" ht="18" customHeight="1" x14ac:dyDescent="0.2">
      <c r="A47" s="435" t="s">
        <v>141</v>
      </c>
      <c r="B47" s="456"/>
      <c r="C47" s="457"/>
      <c r="D47" s="458"/>
      <c r="F47" s="221"/>
      <c r="G47" s="221"/>
      <c r="H47" s="118"/>
      <c r="I47" s="133">
        <f t="shared" si="3"/>
        <v>0</v>
      </c>
      <c r="J47" s="118"/>
      <c r="K47" s="118">
        <f t="shared" si="4"/>
        <v>0</v>
      </c>
    </row>
    <row r="49" spans="1:11" ht="18" customHeight="1" x14ac:dyDescent="0.2">
      <c r="A49" s="455" t="s">
        <v>142</v>
      </c>
      <c r="B49" s="421" t="s">
        <v>143</v>
      </c>
      <c r="E49" s="421" t="s">
        <v>7</v>
      </c>
      <c r="F49" s="409">
        <f t="shared" ref="F49:K49" si="5">SUM(F40:F47)</f>
        <v>6760</v>
      </c>
      <c r="G49" s="409">
        <f t="shared" si="5"/>
        <v>0</v>
      </c>
      <c r="H49" s="118">
        <f t="shared" si="5"/>
        <v>280750</v>
      </c>
      <c r="I49" s="118">
        <f t="shared" si="5"/>
        <v>242455.7</v>
      </c>
      <c r="J49" s="118">
        <f t="shared" si="5"/>
        <v>34297</v>
      </c>
      <c r="K49" s="118">
        <f t="shared" si="5"/>
        <v>488908.7</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670</v>
      </c>
      <c r="C53" s="411"/>
      <c r="D53" s="412"/>
      <c r="F53" s="221"/>
      <c r="G53" s="221"/>
      <c r="H53" s="118">
        <f>668037+118750</f>
        <v>786787</v>
      </c>
      <c r="I53" s="133">
        <f t="shared" ref="I53:I62" si="6">H53*F$114</f>
        <v>679469.25320000004</v>
      </c>
      <c r="J53" s="118">
        <v>114134</v>
      </c>
      <c r="K53" s="118">
        <f t="shared" ref="K53:K62" si="7">(H53+I53)-J53</f>
        <v>1352122.2532000002</v>
      </c>
    </row>
    <row r="54" spans="1:11" ht="18" customHeight="1" x14ac:dyDescent="0.2">
      <c r="A54" s="435" t="s">
        <v>93</v>
      </c>
      <c r="B54" s="420" t="s">
        <v>671</v>
      </c>
      <c r="C54" s="414"/>
      <c r="D54" s="415"/>
      <c r="F54" s="221"/>
      <c r="G54" s="221"/>
      <c r="H54" s="118">
        <v>27000</v>
      </c>
      <c r="I54" s="133">
        <f t="shared" si="6"/>
        <v>23317.200000000001</v>
      </c>
      <c r="J54" s="118"/>
      <c r="K54" s="118">
        <f t="shared" si="7"/>
        <v>50317.2</v>
      </c>
    </row>
    <row r="55" spans="1:11" ht="18" customHeight="1" x14ac:dyDescent="0.2">
      <c r="A55" s="435" t="s">
        <v>94</v>
      </c>
      <c r="B55" s="418"/>
      <c r="C55" s="417"/>
      <c r="D55" s="412"/>
      <c r="F55" s="221"/>
      <c r="G55" s="221"/>
      <c r="H55" s="118"/>
      <c r="I55" s="133">
        <f t="shared" si="6"/>
        <v>0</v>
      </c>
      <c r="J55" s="118"/>
      <c r="K55" s="118">
        <f t="shared" si="7"/>
        <v>0</v>
      </c>
    </row>
    <row r="56" spans="1:11" ht="18" customHeight="1" x14ac:dyDescent="0.2">
      <c r="A56" s="435" t="s">
        <v>95</v>
      </c>
      <c r="B56" s="418"/>
      <c r="C56" s="417"/>
      <c r="D56" s="412"/>
      <c r="F56" s="221"/>
      <c r="G56" s="221"/>
      <c r="H56" s="118"/>
      <c r="I56" s="133">
        <f t="shared" si="6"/>
        <v>0</v>
      </c>
      <c r="J56" s="118"/>
      <c r="K56" s="118">
        <f t="shared" si="7"/>
        <v>0</v>
      </c>
    </row>
    <row r="57" spans="1:11" ht="18" customHeight="1" x14ac:dyDescent="0.2">
      <c r="A57" s="435" t="s">
        <v>96</v>
      </c>
      <c r="B57" s="418"/>
      <c r="C57" s="417"/>
      <c r="D57" s="412"/>
      <c r="F57" s="221"/>
      <c r="G57" s="221"/>
      <c r="H57" s="118"/>
      <c r="I57" s="133">
        <f t="shared" si="6"/>
        <v>0</v>
      </c>
      <c r="J57" s="118"/>
      <c r="K57" s="118">
        <f t="shared" si="7"/>
        <v>0</v>
      </c>
    </row>
    <row r="58" spans="1:11" ht="18" customHeight="1" x14ac:dyDescent="0.2">
      <c r="A58" s="435" t="s">
        <v>97</v>
      </c>
      <c r="B58" s="420"/>
      <c r="C58" s="414"/>
      <c r="D58" s="415"/>
      <c r="F58" s="221"/>
      <c r="G58" s="221"/>
      <c r="H58" s="118"/>
      <c r="I58" s="133">
        <f t="shared" si="6"/>
        <v>0</v>
      </c>
      <c r="J58" s="118"/>
      <c r="K58" s="118">
        <f t="shared" si="7"/>
        <v>0</v>
      </c>
    </row>
    <row r="59" spans="1:11" ht="18" customHeight="1" x14ac:dyDescent="0.2">
      <c r="A59" s="435" t="s">
        <v>98</v>
      </c>
      <c r="B59" s="418"/>
      <c r="C59" s="417"/>
      <c r="D59" s="412"/>
      <c r="F59" s="221"/>
      <c r="G59" s="221"/>
      <c r="H59" s="118"/>
      <c r="I59" s="133">
        <f t="shared" si="6"/>
        <v>0</v>
      </c>
      <c r="J59" s="118"/>
      <c r="K59" s="118">
        <f t="shared" si="7"/>
        <v>0</v>
      </c>
    </row>
    <row r="60" spans="1:11" ht="18" customHeight="1" x14ac:dyDescent="0.2">
      <c r="A60" s="435" t="s">
        <v>99</v>
      </c>
      <c r="B60" s="420"/>
      <c r="C60" s="414"/>
      <c r="D60" s="415"/>
      <c r="F60" s="221"/>
      <c r="G60" s="221"/>
      <c r="H60" s="118"/>
      <c r="I60" s="133">
        <f t="shared" si="6"/>
        <v>0</v>
      </c>
      <c r="J60" s="118"/>
      <c r="K60" s="118">
        <f t="shared" si="7"/>
        <v>0</v>
      </c>
    </row>
    <row r="61" spans="1:11" ht="18" customHeight="1" x14ac:dyDescent="0.2">
      <c r="A61" s="435" t="s">
        <v>100</v>
      </c>
      <c r="B61" s="420"/>
      <c r="C61" s="414"/>
      <c r="D61" s="415"/>
      <c r="F61" s="221"/>
      <c r="G61" s="221"/>
      <c r="H61" s="118"/>
      <c r="I61" s="133">
        <f t="shared" si="6"/>
        <v>0</v>
      </c>
      <c r="J61" s="118"/>
      <c r="K61" s="118">
        <f t="shared" si="7"/>
        <v>0</v>
      </c>
    </row>
    <row r="62" spans="1:11" ht="18" customHeight="1" x14ac:dyDescent="0.2">
      <c r="A62" s="435" t="s">
        <v>101</v>
      </c>
      <c r="B62" s="418"/>
      <c r="C62" s="417"/>
      <c r="D62" s="412"/>
      <c r="F62" s="221"/>
      <c r="G62" s="221"/>
      <c r="H62" s="118"/>
      <c r="I62" s="133">
        <f t="shared" si="6"/>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0</v>
      </c>
      <c r="G64" s="221">
        <f t="shared" si="8"/>
        <v>0</v>
      </c>
      <c r="H64" s="118">
        <f t="shared" si="8"/>
        <v>813787</v>
      </c>
      <c r="I64" s="118">
        <f t="shared" si="8"/>
        <v>702786.45319999999</v>
      </c>
      <c r="J64" s="118">
        <f t="shared" si="8"/>
        <v>114134</v>
      </c>
      <c r="K64" s="118">
        <f t="shared" si="8"/>
        <v>1402439.4532000001</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9">SUM(F68:F72)</f>
        <v>0</v>
      </c>
      <c r="G74" s="122">
        <f t="shared" si="9"/>
        <v>0</v>
      </c>
      <c r="H74" s="122">
        <f t="shared" si="9"/>
        <v>0</v>
      </c>
      <c r="I74" s="133">
        <f t="shared" si="9"/>
        <v>0</v>
      </c>
      <c r="J74" s="122">
        <f t="shared" si="9"/>
        <v>0</v>
      </c>
      <c r="K74" s="118">
        <f t="shared" si="9"/>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21267</v>
      </c>
      <c r="I77" s="133">
        <v>0</v>
      </c>
      <c r="J77" s="118"/>
      <c r="K77" s="118">
        <f>(H77+I77)-J77</f>
        <v>21267</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0">SUM(F77:F80)</f>
        <v>0</v>
      </c>
      <c r="G82" s="122">
        <f t="shared" si="10"/>
        <v>0</v>
      </c>
      <c r="H82" s="118">
        <f t="shared" si="10"/>
        <v>21267</v>
      </c>
      <c r="I82" s="118">
        <f t="shared" si="10"/>
        <v>0</v>
      </c>
      <c r="J82" s="118">
        <f t="shared" si="10"/>
        <v>0</v>
      </c>
      <c r="K82" s="118">
        <f t="shared" si="10"/>
        <v>21267</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11">H86*F$114</f>
        <v>0</v>
      </c>
      <c r="J86" s="118"/>
      <c r="K86" s="118">
        <f t="shared" ref="K86:K96" si="12">(H86+I86)-J86</f>
        <v>0</v>
      </c>
    </row>
    <row r="87" spans="1:11" ht="18" customHeight="1" x14ac:dyDescent="0.2">
      <c r="A87" s="435" t="s">
        <v>114</v>
      </c>
      <c r="B87" s="419" t="s">
        <v>14</v>
      </c>
      <c r="F87" s="221"/>
      <c r="G87" s="221"/>
      <c r="H87" s="118"/>
      <c r="I87" s="133">
        <f t="shared" si="11"/>
        <v>0</v>
      </c>
      <c r="J87" s="118"/>
      <c r="K87" s="118">
        <f t="shared" si="12"/>
        <v>0</v>
      </c>
    </row>
    <row r="88" spans="1:11" ht="18" customHeight="1" x14ac:dyDescent="0.2">
      <c r="A88" s="435" t="s">
        <v>115</v>
      </c>
      <c r="B88" s="419" t="s">
        <v>116</v>
      </c>
      <c r="F88" s="221"/>
      <c r="G88" s="221"/>
      <c r="H88" s="118"/>
      <c r="I88" s="133">
        <f t="shared" si="11"/>
        <v>0</v>
      </c>
      <c r="J88" s="118"/>
      <c r="K88" s="118">
        <f t="shared" si="12"/>
        <v>0</v>
      </c>
    </row>
    <row r="89" spans="1:11" ht="18" customHeight="1" x14ac:dyDescent="0.2">
      <c r="A89" s="435" t="s">
        <v>117</v>
      </c>
      <c r="B89" s="419" t="s">
        <v>58</v>
      </c>
      <c r="F89" s="221"/>
      <c r="G89" s="221"/>
      <c r="H89" s="118"/>
      <c r="I89" s="133">
        <f t="shared" si="11"/>
        <v>0</v>
      </c>
      <c r="J89" s="118"/>
      <c r="K89" s="118">
        <f t="shared" si="12"/>
        <v>0</v>
      </c>
    </row>
    <row r="90" spans="1:11" ht="18" customHeight="1" x14ac:dyDescent="0.2">
      <c r="A90" s="435" t="s">
        <v>118</v>
      </c>
      <c r="B90" s="465" t="s">
        <v>59</v>
      </c>
      <c r="C90" s="466"/>
      <c r="F90" s="221"/>
      <c r="G90" s="221"/>
      <c r="H90" s="118"/>
      <c r="I90" s="133">
        <f t="shared" si="11"/>
        <v>0</v>
      </c>
      <c r="J90" s="118"/>
      <c r="K90" s="118">
        <f t="shared" si="12"/>
        <v>0</v>
      </c>
    </row>
    <row r="91" spans="1:11" ht="18" customHeight="1" x14ac:dyDescent="0.2">
      <c r="A91" s="435" t="s">
        <v>119</v>
      </c>
      <c r="B91" s="419" t="s">
        <v>60</v>
      </c>
      <c r="F91" s="221"/>
      <c r="G91" s="221"/>
      <c r="H91" s="118"/>
      <c r="I91" s="133">
        <f t="shared" si="11"/>
        <v>0</v>
      </c>
      <c r="J91" s="118"/>
      <c r="K91" s="118">
        <f t="shared" si="12"/>
        <v>0</v>
      </c>
    </row>
    <row r="92" spans="1:11" ht="18" customHeight="1" x14ac:dyDescent="0.2">
      <c r="A92" s="435" t="s">
        <v>120</v>
      </c>
      <c r="B92" s="419" t="s">
        <v>121</v>
      </c>
      <c r="F92" s="257"/>
      <c r="G92" s="257"/>
      <c r="H92" s="429"/>
      <c r="I92" s="133">
        <f t="shared" si="11"/>
        <v>0</v>
      </c>
      <c r="J92" s="429"/>
      <c r="K92" s="118">
        <f t="shared" si="12"/>
        <v>0</v>
      </c>
    </row>
    <row r="93" spans="1:11" ht="18" customHeight="1" x14ac:dyDescent="0.2">
      <c r="A93" s="435" t="s">
        <v>122</v>
      </c>
      <c r="B93" s="419" t="s">
        <v>123</v>
      </c>
      <c r="F93" s="221"/>
      <c r="G93" s="221"/>
      <c r="H93" s="118">
        <v>33497</v>
      </c>
      <c r="I93" s="133">
        <f t="shared" si="11"/>
        <v>28928.0092</v>
      </c>
      <c r="J93" s="118">
        <v>12536</v>
      </c>
      <c r="K93" s="118">
        <f t="shared" si="12"/>
        <v>49889.0092</v>
      </c>
    </row>
    <row r="94" spans="1:11" ht="18" customHeight="1" x14ac:dyDescent="0.2">
      <c r="A94" s="435" t="s">
        <v>124</v>
      </c>
      <c r="B94" s="418"/>
      <c r="C94" s="417"/>
      <c r="D94" s="412"/>
      <c r="F94" s="221"/>
      <c r="G94" s="221"/>
      <c r="H94" s="118"/>
      <c r="I94" s="133">
        <f t="shared" si="11"/>
        <v>0</v>
      </c>
      <c r="J94" s="118"/>
      <c r="K94" s="118">
        <f t="shared" si="12"/>
        <v>0</v>
      </c>
    </row>
    <row r="95" spans="1:11" ht="18" customHeight="1" x14ac:dyDescent="0.2">
      <c r="A95" s="435" t="s">
        <v>125</v>
      </c>
      <c r="B95" s="418"/>
      <c r="C95" s="417"/>
      <c r="D95" s="412"/>
      <c r="F95" s="221"/>
      <c r="G95" s="221"/>
      <c r="H95" s="118"/>
      <c r="I95" s="133">
        <f t="shared" si="11"/>
        <v>0</v>
      </c>
      <c r="J95" s="118"/>
      <c r="K95" s="118">
        <f t="shared" si="12"/>
        <v>0</v>
      </c>
    </row>
    <row r="96" spans="1:11" ht="18" customHeight="1" x14ac:dyDescent="0.2">
      <c r="A96" s="435" t="s">
        <v>126</v>
      </c>
      <c r="B96" s="418"/>
      <c r="C96" s="417"/>
      <c r="D96" s="412"/>
      <c r="F96" s="221"/>
      <c r="G96" s="221"/>
      <c r="H96" s="118"/>
      <c r="I96" s="133">
        <f t="shared" si="11"/>
        <v>0</v>
      </c>
      <c r="J96" s="118"/>
      <c r="K96" s="118">
        <f t="shared" si="12"/>
        <v>0</v>
      </c>
    </row>
    <row r="97" spans="1:11" ht="18" customHeight="1" x14ac:dyDescent="0.2">
      <c r="A97" s="435"/>
      <c r="B97" s="419"/>
    </row>
    <row r="98" spans="1:11" ht="18" customHeight="1" x14ac:dyDescent="0.2">
      <c r="A98" s="455" t="s">
        <v>150</v>
      </c>
      <c r="B98" s="421" t="s">
        <v>151</v>
      </c>
      <c r="E98" s="421" t="s">
        <v>7</v>
      </c>
      <c r="F98" s="221">
        <f t="shared" ref="F98:K98" si="13">SUM(F86:F96)</f>
        <v>0</v>
      </c>
      <c r="G98" s="221">
        <f t="shared" si="13"/>
        <v>0</v>
      </c>
      <c r="H98" s="221">
        <f t="shared" si="13"/>
        <v>33497</v>
      </c>
      <c r="I98" s="221">
        <f t="shared" si="13"/>
        <v>28928.0092</v>
      </c>
      <c r="J98" s="221">
        <f t="shared" si="13"/>
        <v>12536</v>
      </c>
      <c r="K98" s="221">
        <f t="shared" si="13"/>
        <v>49889.0092</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126</v>
      </c>
      <c r="G102" s="221"/>
      <c r="H102" s="118">
        <v>14263</v>
      </c>
      <c r="I102" s="133">
        <f>H102*F$114</f>
        <v>12317.5268</v>
      </c>
      <c r="J102" s="118"/>
      <c r="K102" s="118">
        <f>(H102+I102)-J102</f>
        <v>26580.5268</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126</v>
      </c>
      <c r="G108" s="221">
        <f t="shared" si="14"/>
        <v>0</v>
      </c>
      <c r="H108" s="118">
        <f t="shared" si="14"/>
        <v>14263</v>
      </c>
      <c r="I108" s="118">
        <f t="shared" si="14"/>
        <v>12317.5268</v>
      </c>
      <c r="J108" s="118">
        <f t="shared" si="14"/>
        <v>0</v>
      </c>
      <c r="K108" s="118">
        <f t="shared" si="14"/>
        <v>26580.5268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1018600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0.86360000000000003</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78240000</v>
      </c>
    </row>
    <row r="118" spans="1:6" ht="18" customHeight="1" x14ac:dyDescent="0.2">
      <c r="A118" s="435" t="s">
        <v>173</v>
      </c>
      <c r="B118" s="259" t="s">
        <v>18</v>
      </c>
      <c r="F118" s="118">
        <f>2221000+46000</f>
        <v>2267000</v>
      </c>
    </row>
    <row r="119" spans="1:6" ht="18" customHeight="1" x14ac:dyDescent="0.2">
      <c r="A119" s="435" t="s">
        <v>174</v>
      </c>
      <c r="B119" s="421" t="s">
        <v>19</v>
      </c>
      <c r="F119" s="118">
        <f>SUM(F117:F118)</f>
        <v>80507000</v>
      </c>
    </row>
    <row r="120" spans="1:6" ht="18" customHeight="1" x14ac:dyDescent="0.2">
      <c r="A120" s="435"/>
      <c r="B120" s="421"/>
    </row>
    <row r="121" spans="1:6" ht="18" customHeight="1" x14ac:dyDescent="0.2">
      <c r="A121" s="435" t="s">
        <v>167</v>
      </c>
      <c r="B121" s="421" t="s">
        <v>36</v>
      </c>
      <c r="F121" s="118">
        <v>77169000</v>
      </c>
    </row>
    <row r="122" spans="1:6" ht="18" customHeight="1" x14ac:dyDescent="0.2">
      <c r="A122" s="435"/>
    </row>
    <row r="123" spans="1:6" ht="18" customHeight="1" x14ac:dyDescent="0.2">
      <c r="A123" s="435" t="s">
        <v>175</v>
      </c>
      <c r="B123" s="421" t="s">
        <v>20</v>
      </c>
      <c r="F123" s="118">
        <f>F119-F121</f>
        <v>3338000</v>
      </c>
    </row>
    <row r="124" spans="1:6" ht="18" customHeight="1" x14ac:dyDescent="0.2">
      <c r="A124" s="435"/>
    </row>
    <row r="125" spans="1:6" ht="18" customHeight="1" x14ac:dyDescent="0.2">
      <c r="A125" s="435" t="s">
        <v>176</v>
      </c>
      <c r="B125" s="421" t="s">
        <v>21</v>
      </c>
      <c r="F125" s="118">
        <v>1952000</v>
      </c>
    </row>
    <row r="126" spans="1:6" ht="18" customHeight="1" x14ac:dyDescent="0.2">
      <c r="A126" s="435"/>
    </row>
    <row r="127" spans="1:6" ht="18" customHeight="1" x14ac:dyDescent="0.2">
      <c r="A127" s="435" t="s">
        <v>177</v>
      </c>
      <c r="B127" s="421" t="s">
        <v>22</v>
      </c>
      <c r="F127" s="118">
        <f>F123+F125</f>
        <v>5290000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118">
        <f t="shared" si="15"/>
        <v>0</v>
      </c>
      <c r="I137" s="118">
        <f t="shared" si="15"/>
        <v>0</v>
      </c>
      <c r="J137" s="118">
        <f t="shared" si="15"/>
        <v>0</v>
      </c>
      <c r="K137" s="118">
        <f t="shared" si="15"/>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6">F36</f>
        <v>73</v>
      </c>
      <c r="G141" s="422">
        <f t="shared" si="16"/>
        <v>206</v>
      </c>
      <c r="H141" s="422">
        <f t="shared" si="16"/>
        <v>68321</v>
      </c>
      <c r="I141" s="422">
        <f t="shared" si="16"/>
        <v>59002.015600000006</v>
      </c>
      <c r="J141" s="422">
        <f t="shared" si="16"/>
        <v>0</v>
      </c>
      <c r="K141" s="422">
        <f t="shared" si="16"/>
        <v>127323.0156</v>
      </c>
    </row>
    <row r="142" spans="1:11" ht="18" customHeight="1" x14ac:dyDescent="0.2">
      <c r="A142" s="435" t="s">
        <v>142</v>
      </c>
      <c r="B142" s="421" t="s">
        <v>65</v>
      </c>
      <c r="F142" s="422">
        <f t="shared" ref="F142:K142" si="17">F49</f>
        <v>6760</v>
      </c>
      <c r="G142" s="422">
        <f t="shared" si="17"/>
        <v>0</v>
      </c>
      <c r="H142" s="422">
        <f t="shared" si="17"/>
        <v>280750</v>
      </c>
      <c r="I142" s="422">
        <f t="shared" si="17"/>
        <v>242455.7</v>
      </c>
      <c r="J142" s="422">
        <f t="shared" si="17"/>
        <v>34297</v>
      </c>
      <c r="K142" s="422">
        <f t="shared" si="17"/>
        <v>488908.7</v>
      </c>
    </row>
    <row r="143" spans="1:11" ht="18" customHeight="1" x14ac:dyDescent="0.2">
      <c r="A143" s="435" t="s">
        <v>144</v>
      </c>
      <c r="B143" s="421" t="s">
        <v>66</v>
      </c>
      <c r="F143" s="422">
        <f t="shared" ref="F143:K143" si="18">F64</f>
        <v>0</v>
      </c>
      <c r="G143" s="422">
        <f t="shared" si="18"/>
        <v>0</v>
      </c>
      <c r="H143" s="422">
        <f t="shared" si="18"/>
        <v>813787</v>
      </c>
      <c r="I143" s="422">
        <f t="shared" si="18"/>
        <v>702786.45319999999</v>
      </c>
      <c r="J143" s="422">
        <f t="shared" si="18"/>
        <v>114134</v>
      </c>
      <c r="K143" s="422">
        <f t="shared" si="18"/>
        <v>1402439.4532000001</v>
      </c>
    </row>
    <row r="144" spans="1:11" ht="18" customHeight="1" x14ac:dyDescent="0.2">
      <c r="A144" s="435" t="s">
        <v>146</v>
      </c>
      <c r="B144" s="421" t="s">
        <v>67</v>
      </c>
      <c r="F144" s="422">
        <f t="shared" ref="F144:K144" si="19">F74</f>
        <v>0</v>
      </c>
      <c r="G144" s="422">
        <f t="shared" si="19"/>
        <v>0</v>
      </c>
      <c r="H144" s="422">
        <f t="shared" si="19"/>
        <v>0</v>
      </c>
      <c r="I144" s="422">
        <f t="shared" si="19"/>
        <v>0</v>
      </c>
      <c r="J144" s="422">
        <f t="shared" si="19"/>
        <v>0</v>
      </c>
      <c r="K144" s="422">
        <f t="shared" si="19"/>
        <v>0</v>
      </c>
    </row>
    <row r="145" spans="1:11" ht="18" customHeight="1" x14ac:dyDescent="0.2">
      <c r="A145" s="435" t="s">
        <v>148</v>
      </c>
      <c r="B145" s="421" t="s">
        <v>68</v>
      </c>
      <c r="F145" s="422">
        <f t="shared" ref="F145:K145" si="20">F82</f>
        <v>0</v>
      </c>
      <c r="G145" s="422">
        <f t="shared" si="20"/>
        <v>0</v>
      </c>
      <c r="H145" s="422">
        <f t="shared" si="20"/>
        <v>21267</v>
      </c>
      <c r="I145" s="422">
        <f t="shared" si="20"/>
        <v>0</v>
      </c>
      <c r="J145" s="422">
        <f t="shared" si="20"/>
        <v>0</v>
      </c>
      <c r="K145" s="422">
        <f t="shared" si="20"/>
        <v>21267</v>
      </c>
    </row>
    <row r="146" spans="1:11" ht="18" customHeight="1" x14ac:dyDescent="0.2">
      <c r="A146" s="435" t="s">
        <v>150</v>
      </c>
      <c r="B146" s="421" t="s">
        <v>69</v>
      </c>
      <c r="F146" s="422">
        <f t="shared" ref="F146:K146" si="21">F98</f>
        <v>0</v>
      </c>
      <c r="G146" s="422">
        <f t="shared" si="21"/>
        <v>0</v>
      </c>
      <c r="H146" s="422">
        <f t="shared" si="21"/>
        <v>33497</v>
      </c>
      <c r="I146" s="422">
        <f t="shared" si="21"/>
        <v>28928.0092</v>
      </c>
      <c r="J146" s="422">
        <f t="shared" si="21"/>
        <v>12536</v>
      </c>
      <c r="K146" s="422">
        <f t="shared" si="21"/>
        <v>49889.0092</v>
      </c>
    </row>
    <row r="147" spans="1:11" ht="18" customHeight="1" x14ac:dyDescent="0.2">
      <c r="A147" s="435" t="s">
        <v>153</v>
      </c>
      <c r="B147" s="421" t="s">
        <v>61</v>
      </c>
      <c r="F147" s="221">
        <f t="shared" ref="F147:K147" si="22">F108</f>
        <v>126</v>
      </c>
      <c r="G147" s="221">
        <f t="shared" si="22"/>
        <v>0</v>
      </c>
      <c r="H147" s="221">
        <f t="shared" si="22"/>
        <v>14263</v>
      </c>
      <c r="I147" s="221">
        <f t="shared" si="22"/>
        <v>12317.5268</v>
      </c>
      <c r="J147" s="221">
        <f t="shared" si="22"/>
        <v>0</v>
      </c>
      <c r="K147" s="221">
        <f t="shared" si="22"/>
        <v>26580.5268</v>
      </c>
    </row>
    <row r="148" spans="1:11" ht="18" customHeight="1" x14ac:dyDescent="0.2">
      <c r="A148" s="435" t="s">
        <v>155</v>
      </c>
      <c r="B148" s="421" t="s">
        <v>70</v>
      </c>
      <c r="F148" s="485" t="s">
        <v>73</v>
      </c>
      <c r="G148" s="485" t="s">
        <v>73</v>
      </c>
      <c r="H148" s="486" t="s">
        <v>73</v>
      </c>
      <c r="I148" s="486" t="s">
        <v>73</v>
      </c>
      <c r="J148" s="486" t="s">
        <v>73</v>
      </c>
      <c r="K148" s="423">
        <f>F111</f>
        <v>1018600</v>
      </c>
    </row>
    <row r="149" spans="1:11" ht="18" customHeight="1" x14ac:dyDescent="0.2">
      <c r="A149" s="435" t="s">
        <v>163</v>
      </c>
      <c r="B149" s="421" t="s">
        <v>71</v>
      </c>
      <c r="F149" s="221">
        <f t="shared" ref="F149:K149" si="23">F137</f>
        <v>0</v>
      </c>
      <c r="G149" s="221">
        <f t="shared" si="23"/>
        <v>0</v>
      </c>
      <c r="H149" s="221">
        <f t="shared" si="23"/>
        <v>0</v>
      </c>
      <c r="I149" s="221">
        <f t="shared" si="23"/>
        <v>0</v>
      </c>
      <c r="J149" s="221">
        <f t="shared" si="23"/>
        <v>0</v>
      </c>
      <c r="K149" s="221">
        <f t="shared" si="23"/>
        <v>0</v>
      </c>
    </row>
    <row r="150" spans="1:11" ht="18" customHeight="1" x14ac:dyDescent="0.2">
      <c r="A150" s="435" t="s">
        <v>185</v>
      </c>
      <c r="B150" s="421" t="s">
        <v>186</v>
      </c>
      <c r="F150" s="485" t="s">
        <v>73</v>
      </c>
      <c r="G150" s="485" t="s">
        <v>73</v>
      </c>
      <c r="H150" s="221">
        <f>H18</f>
        <v>1245562</v>
      </c>
      <c r="I150" s="221">
        <f>I18</f>
        <v>0</v>
      </c>
      <c r="J150" s="221">
        <f>J18</f>
        <v>1052746</v>
      </c>
      <c r="K150" s="221">
        <f>K18</f>
        <v>192816</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4">SUM(F141:F150)</f>
        <v>6959</v>
      </c>
      <c r="G152" s="487">
        <f t="shared" si="24"/>
        <v>206</v>
      </c>
      <c r="H152" s="487">
        <f t="shared" si="24"/>
        <v>2477447</v>
      </c>
      <c r="I152" s="487">
        <f t="shared" si="24"/>
        <v>1045489.7047999999</v>
      </c>
      <c r="J152" s="487">
        <f t="shared" si="24"/>
        <v>1213713</v>
      </c>
      <c r="K152" s="487">
        <f t="shared" si="24"/>
        <v>3327823.7047999999</v>
      </c>
    </row>
    <row r="154" spans="1:11" ht="18" customHeight="1" x14ac:dyDescent="0.2">
      <c r="A154" s="455" t="s">
        <v>168</v>
      </c>
      <c r="B154" s="421" t="s">
        <v>28</v>
      </c>
      <c r="F154" s="140">
        <f>K152/F121</f>
        <v>4.3123841241949484E-2</v>
      </c>
    </row>
    <row r="155" spans="1:11" ht="18" customHeight="1" x14ac:dyDescent="0.2">
      <c r="A155" s="455" t="s">
        <v>169</v>
      </c>
      <c r="B155" s="421" t="s">
        <v>72</v>
      </c>
      <c r="F155" s="140">
        <f>K152/F127</f>
        <v>0.62907820506616252</v>
      </c>
      <c r="G155" s="421"/>
    </row>
    <row r="156" spans="1:11" ht="18" customHeight="1" x14ac:dyDescent="0.2">
      <c r="G156" s="421"/>
    </row>
  </sheetData>
  <sheetProtection algorithmName="SHA-512" hashValue="cFCaSwMB2kt+q0RVlB44eoHRnkVZvT1tfl+yy6r9D73sll6gVeR4k/rZOo/kELihfDwpORpCg5AufLM57RHoCA==" saltValue="CgHMOICfJaCYjwc8/rzD9A==" spinCount="100000" sheet="1" objects="1" scenarios="1"/>
  <mergeCells count="34">
    <mergeCell ref="B135:D135"/>
    <mergeCell ref="B133:D133"/>
    <mergeCell ref="B104:D104"/>
    <mergeCell ref="B105:D105"/>
    <mergeCell ref="B106:D106"/>
    <mergeCell ref="B103:C103"/>
    <mergeCell ref="B96:D96"/>
    <mergeCell ref="B95:D95"/>
    <mergeCell ref="B94:D94"/>
    <mergeCell ref="B134:D134"/>
    <mergeCell ref="B62:D62"/>
    <mergeCell ref="B57:D57"/>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56"/>
  <sheetViews>
    <sheetView showGridLines="0" zoomScaleNormal="100" zoomScaleSheetLayoutView="85"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467</v>
      </c>
      <c r="D5" s="437"/>
      <c r="E5" s="437"/>
      <c r="F5" s="437"/>
      <c r="G5" s="438"/>
    </row>
    <row r="6" spans="1:11" ht="18" customHeight="1" x14ac:dyDescent="0.2">
      <c r="B6" s="435" t="s">
        <v>3</v>
      </c>
      <c r="C6" s="439">
        <v>65</v>
      </c>
      <c r="D6" s="440"/>
      <c r="E6" s="440"/>
      <c r="F6" s="440"/>
      <c r="G6" s="441"/>
    </row>
    <row r="7" spans="1:11" ht="18" customHeight="1" x14ac:dyDescent="0.2">
      <c r="B7" s="435" t="s">
        <v>4</v>
      </c>
      <c r="C7" s="492">
        <v>674</v>
      </c>
      <c r="D7" s="493"/>
      <c r="E7" s="493"/>
      <c r="F7" s="493"/>
      <c r="G7" s="494"/>
    </row>
    <row r="9" spans="1:11" ht="18" customHeight="1" x14ac:dyDescent="0.2">
      <c r="B9" s="435" t="s">
        <v>1</v>
      </c>
      <c r="C9" s="436" t="s">
        <v>667</v>
      </c>
      <c r="D9" s="437"/>
      <c r="E9" s="437"/>
      <c r="F9" s="437"/>
      <c r="G9" s="438"/>
    </row>
    <row r="10" spans="1:11" ht="18" customHeight="1" x14ac:dyDescent="0.2">
      <c r="B10" s="435" t="s">
        <v>2</v>
      </c>
      <c r="C10" s="445" t="s">
        <v>283</v>
      </c>
      <c r="D10" s="446"/>
      <c r="E10" s="446"/>
      <c r="F10" s="446"/>
      <c r="G10" s="447"/>
    </row>
    <row r="11" spans="1:11" ht="18" customHeight="1" x14ac:dyDescent="0.2">
      <c r="B11" s="435" t="s">
        <v>32</v>
      </c>
      <c r="C11" s="634" t="s">
        <v>284</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2272238.4</v>
      </c>
      <c r="I18" s="133">
        <v>0</v>
      </c>
      <c r="J18" s="118">
        <v>1920489.83</v>
      </c>
      <c r="K18" s="118">
        <f>(H18+I18)-J18</f>
        <v>351748.56999999983</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936.5</v>
      </c>
      <c r="G21" s="221">
        <v>8155</v>
      </c>
      <c r="H21" s="118">
        <v>217235</v>
      </c>
      <c r="I21" s="133">
        <v>62653</v>
      </c>
      <c r="J21" s="118">
        <v>29227</v>
      </c>
      <c r="K21" s="118">
        <f t="shared" ref="K21:K34" si="0">(H21+I21)-J21</f>
        <v>250661</v>
      </c>
    </row>
    <row r="22" spans="1:11" ht="18" customHeight="1" x14ac:dyDescent="0.2">
      <c r="A22" s="435" t="s">
        <v>76</v>
      </c>
      <c r="B22" s="259" t="s">
        <v>6</v>
      </c>
      <c r="F22" s="221"/>
      <c r="G22" s="221"/>
      <c r="H22" s="118"/>
      <c r="I22" s="133">
        <f t="shared" ref="I22:I34" si="1">H22*F$114</f>
        <v>0</v>
      </c>
      <c r="J22" s="118"/>
      <c r="K22" s="118">
        <f t="shared" si="0"/>
        <v>0</v>
      </c>
    </row>
    <row r="23" spans="1:11" ht="18" customHeight="1" x14ac:dyDescent="0.2">
      <c r="A23" s="435" t="s">
        <v>77</v>
      </c>
      <c r="B23" s="259" t="s">
        <v>43</v>
      </c>
      <c r="F23" s="221"/>
      <c r="G23" s="221"/>
      <c r="H23" s="118"/>
      <c r="I23" s="133">
        <f t="shared" si="1"/>
        <v>0</v>
      </c>
      <c r="J23" s="118"/>
      <c r="K23" s="118">
        <f t="shared" si="0"/>
        <v>0</v>
      </c>
    </row>
    <row r="24" spans="1:11" ht="18" customHeight="1" x14ac:dyDescent="0.2">
      <c r="A24" s="435" t="s">
        <v>78</v>
      </c>
      <c r="B24" s="259" t="s">
        <v>44</v>
      </c>
      <c r="F24" s="221">
        <v>1</v>
      </c>
      <c r="G24" s="221">
        <v>6</v>
      </c>
      <c r="H24" s="118">
        <v>39</v>
      </c>
      <c r="I24" s="133">
        <v>4</v>
      </c>
      <c r="J24" s="118">
        <v>0</v>
      </c>
      <c r="K24" s="118">
        <f t="shared" si="0"/>
        <v>43</v>
      </c>
    </row>
    <row r="25" spans="1:11" ht="18" customHeight="1" x14ac:dyDescent="0.2">
      <c r="A25" s="435" t="s">
        <v>79</v>
      </c>
      <c r="B25" s="259" t="s">
        <v>5</v>
      </c>
      <c r="F25" s="221"/>
      <c r="G25" s="221"/>
      <c r="H25" s="118"/>
      <c r="I25" s="133">
        <f t="shared" si="1"/>
        <v>0</v>
      </c>
      <c r="J25" s="118"/>
      <c r="K25" s="118">
        <f t="shared" si="0"/>
        <v>0</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2079</v>
      </c>
      <c r="G29" s="221">
        <v>0</v>
      </c>
      <c r="H29" s="118">
        <v>43819</v>
      </c>
      <c r="I29" s="133">
        <v>13499</v>
      </c>
      <c r="J29" s="118">
        <v>0</v>
      </c>
      <c r="K29" s="118">
        <f t="shared" si="0"/>
        <v>57318</v>
      </c>
    </row>
    <row r="30" spans="1:11" ht="18" customHeight="1" x14ac:dyDescent="0.2">
      <c r="A30" s="435" t="s">
        <v>84</v>
      </c>
      <c r="B30" s="456" t="s">
        <v>521</v>
      </c>
      <c r="C30" s="457"/>
      <c r="D30" s="458"/>
      <c r="F30" s="221">
        <v>360</v>
      </c>
      <c r="G30" s="221">
        <v>335</v>
      </c>
      <c r="H30" s="118">
        <v>477609</v>
      </c>
      <c r="I30" s="133">
        <v>4491</v>
      </c>
      <c r="J30" s="118">
        <v>463031</v>
      </c>
      <c r="K30" s="118">
        <f t="shared" si="0"/>
        <v>19069</v>
      </c>
    </row>
    <row r="31" spans="1:11" ht="18" customHeight="1" x14ac:dyDescent="0.2">
      <c r="A31" s="435" t="s">
        <v>133</v>
      </c>
      <c r="B31" s="456" t="s">
        <v>537</v>
      </c>
      <c r="C31" s="457"/>
      <c r="D31" s="458"/>
      <c r="F31" s="221">
        <v>0</v>
      </c>
      <c r="G31" s="221">
        <v>0</v>
      </c>
      <c r="H31" s="118">
        <v>14272</v>
      </c>
      <c r="I31" s="133">
        <v>4396</v>
      </c>
      <c r="J31" s="118">
        <v>0</v>
      </c>
      <c r="K31" s="118">
        <f t="shared" si="0"/>
        <v>18668</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3376.5</v>
      </c>
      <c r="G36" s="221">
        <f t="shared" si="2"/>
        <v>8496</v>
      </c>
      <c r="H36" s="221">
        <f t="shared" si="2"/>
        <v>752974</v>
      </c>
      <c r="I36" s="118">
        <f t="shared" si="2"/>
        <v>85043</v>
      </c>
      <c r="J36" s="118">
        <f t="shared" si="2"/>
        <v>492258</v>
      </c>
      <c r="K36" s="118">
        <f t="shared" si="2"/>
        <v>345759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v>121</v>
      </c>
      <c r="G41" s="221">
        <v>115</v>
      </c>
      <c r="H41" s="118">
        <v>5778</v>
      </c>
      <c r="I41" s="133">
        <v>1780</v>
      </c>
      <c r="J41" s="118">
        <v>0</v>
      </c>
      <c r="K41" s="118">
        <f t="shared" si="3"/>
        <v>7558</v>
      </c>
    </row>
    <row r="42" spans="1:11" ht="18" customHeight="1" x14ac:dyDescent="0.2">
      <c r="A42" s="435" t="s">
        <v>89</v>
      </c>
      <c r="B42" s="419" t="s">
        <v>11</v>
      </c>
      <c r="F42" s="221"/>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121</v>
      </c>
      <c r="G49" s="409">
        <f t="shared" si="4"/>
        <v>115</v>
      </c>
      <c r="H49" s="118">
        <f t="shared" si="4"/>
        <v>5778</v>
      </c>
      <c r="I49" s="118">
        <f t="shared" si="4"/>
        <v>1780</v>
      </c>
      <c r="J49" s="118">
        <f t="shared" si="4"/>
        <v>0</v>
      </c>
      <c r="K49" s="118">
        <f t="shared" si="4"/>
        <v>7558</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324</v>
      </c>
      <c r="C53" s="411"/>
      <c r="D53" s="412"/>
      <c r="F53" s="221">
        <v>0</v>
      </c>
      <c r="G53" s="221">
        <v>0</v>
      </c>
      <c r="H53" s="118">
        <v>2573061</v>
      </c>
      <c r="I53" s="133">
        <v>792503</v>
      </c>
      <c r="J53" s="118">
        <v>0</v>
      </c>
      <c r="K53" s="118">
        <f t="shared" ref="K53:K62" si="5">(H53+I53)-J53</f>
        <v>3365564</v>
      </c>
    </row>
    <row r="54" spans="1:11" ht="18" customHeight="1" x14ac:dyDescent="0.2">
      <c r="A54" s="435" t="s">
        <v>93</v>
      </c>
      <c r="B54" s="420" t="s">
        <v>668</v>
      </c>
      <c r="C54" s="414"/>
      <c r="D54" s="415"/>
      <c r="F54" s="221">
        <v>0</v>
      </c>
      <c r="G54" s="221">
        <v>17614</v>
      </c>
      <c r="H54" s="118">
        <v>0</v>
      </c>
      <c r="I54" s="133">
        <v>416426</v>
      </c>
      <c r="J54" s="118">
        <v>0</v>
      </c>
      <c r="K54" s="118">
        <f t="shared" si="5"/>
        <v>416426</v>
      </c>
    </row>
    <row r="55" spans="1:11" ht="18" customHeight="1" x14ac:dyDescent="0.2">
      <c r="A55" s="435" t="s">
        <v>94</v>
      </c>
      <c r="B55" s="418" t="s">
        <v>326</v>
      </c>
      <c r="C55" s="417"/>
      <c r="D55" s="412"/>
      <c r="F55" s="221">
        <v>0</v>
      </c>
      <c r="G55" s="221">
        <v>148</v>
      </c>
      <c r="H55" s="118">
        <v>753</v>
      </c>
      <c r="I55" s="133">
        <v>232</v>
      </c>
      <c r="J55" s="118">
        <v>669</v>
      </c>
      <c r="K55" s="118">
        <f t="shared" si="5"/>
        <v>316</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17762</v>
      </c>
      <c r="H64" s="118">
        <f t="shared" si="6"/>
        <v>2573814</v>
      </c>
      <c r="I64" s="118">
        <f t="shared" si="6"/>
        <v>1209161</v>
      </c>
      <c r="J64" s="118">
        <f t="shared" si="6"/>
        <v>669</v>
      </c>
      <c r="K64" s="118">
        <f t="shared" si="6"/>
        <v>3782306</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c r="I77" s="133">
        <v>0</v>
      </c>
      <c r="J77" s="118"/>
      <c r="K77" s="118">
        <f>(H77+I77)-J77</f>
        <v>0</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0</v>
      </c>
      <c r="I82" s="118">
        <f t="shared" si="8"/>
        <v>0</v>
      </c>
      <c r="J82" s="118">
        <f t="shared" si="8"/>
        <v>0</v>
      </c>
      <c r="K82" s="118">
        <f t="shared" si="8"/>
        <v>0</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c r="G88" s="221"/>
      <c r="H88" s="118"/>
      <c r="I88" s="133">
        <f t="shared" si="9"/>
        <v>0</v>
      </c>
      <c r="J88" s="118"/>
      <c r="K88" s="118">
        <f t="shared" si="10"/>
        <v>0</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c r="I92" s="133">
        <f t="shared" si="9"/>
        <v>0</v>
      </c>
      <c r="J92" s="429"/>
      <c r="K92" s="118">
        <f t="shared" si="10"/>
        <v>0</v>
      </c>
    </row>
    <row r="93" spans="1:11" ht="18" customHeight="1" x14ac:dyDescent="0.2">
      <c r="A93" s="435" t="s">
        <v>122</v>
      </c>
      <c r="B93" s="419" t="s">
        <v>123</v>
      </c>
      <c r="F93" s="221"/>
      <c r="G93" s="221"/>
      <c r="H93" s="118"/>
      <c r="I93" s="133">
        <f t="shared" si="9"/>
        <v>0</v>
      </c>
      <c r="J93" s="118"/>
      <c r="K93" s="118">
        <f t="shared" si="10"/>
        <v>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0</v>
      </c>
      <c r="G98" s="221">
        <f t="shared" si="11"/>
        <v>0</v>
      </c>
      <c r="H98" s="221">
        <f t="shared" si="11"/>
        <v>0</v>
      </c>
      <c r="I98" s="221">
        <f t="shared" si="11"/>
        <v>0</v>
      </c>
      <c r="J98" s="221">
        <f t="shared" si="11"/>
        <v>0</v>
      </c>
      <c r="K98" s="221">
        <f t="shared" si="11"/>
        <v>0</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350</v>
      </c>
      <c r="G102" s="221">
        <v>0</v>
      </c>
      <c r="H102" s="118">
        <v>21434</v>
      </c>
      <c r="I102" s="133">
        <v>6602</v>
      </c>
      <c r="J102" s="118">
        <v>0</v>
      </c>
      <c r="K102" s="118">
        <f>(H102+I102)-J102</f>
        <v>28036</v>
      </c>
    </row>
    <row r="103" spans="1:11" ht="18" customHeight="1" x14ac:dyDescent="0.2">
      <c r="A103" s="435" t="s">
        <v>132</v>
      </c>
      <c r="B103" s="465" t="s">
        <v>62</v>
      </c>
      <c r="C103" s="465"/>
      <c r="F103" s="221">
        <v>6</v>
      </c>
      <c r="G103" s="221">
        <v>4</v>
      </c>
      <c r="H103" s="118">
        <v>25324</v>
      </c>
      <c r="I103" s="133">
        <v>100</v>
      </c>
      <c r="J103" s="118">
        <v>0</v>
      </c>
      <c r="K103" s="118">
        <f>(H103+I103)-J103</f>
        <v>25424</v>
      </c>
    </row>
    <row r="104" spans="1:11" ht="18" customHeight="1" x14ac:dyDescent="0.2">
      <c r="A104" s="435" t="s">
        <v>128</v>
      </c>
      <c r="B104" s="418" t="s">
        <v>327</v>
      </c>
      <c r="C104" s="417"/>
      <c r="D104" s="412"/>
      <c r="F104" s="221">
        <v>0</v>
      </c>
      <c r="G104" s="221">
        <v>0</v>
      </c>
      <c r="H104" s="118">
        <v>18010</v>
      </c>
      <c r="I104" s="133">
        <v>5547</v>
      </c>
      <c r="J104" s="118">
        <v>0</v>
      </c>
      <c r="K104" s="118">
        <f>(H104+I104)-J104</f>
        <v>23557</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356</v>
      </c>
      <c r="G108" s="221">
        <f t="shared" si="12"/>
        <v>4</v>
      </c>
      <c r="H108" s="118">
        <f t="shared" si="12"/>
        <v>64768</v>
      </c>
      <c r="I108" s="118">
        <f t="shared" si="12"/>
        <v>12249</v>
      </c>
      <c r="J108" s="118">
        <f t="shared" si="12"/>
        <v>0</v>
      </c>
      <c r="K108" s="118">
        <f t="shared" si="12"/>
        <v>77017</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4839365</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0.308</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82424273.189999998</v>
      </c>
    </row>
    <row r="118" spans="1:6" ht="18" customHeight="1" x14ac:dyDescent="0.2">
      <c r="A118" s="435" t="s">
        <v>173</v>
      </c>
      <c r="B118" s="259" t="s">
        <v>18</v>
      </c>
      <c r="F118" s="118">
        <v>1610666.31</v>
      </c>
    </row>
    <row r="119" spans="1:6" ht="18" customHeight="1" x14ac:dyDescent="0.2">
      <c r="A119" s="435" t="s">
        <v>174</v>
      </c>
      <c r="B119" s="421" t="s">
        <v>19</v>
      </c>
      <c r="F119" s="118">
        <f>SUM(F117:F118)</f>
        <v>84034939.5</v>
      </c>
    </row>
    <row r="120" spans="1:6" ht="18" customHeight="1" x14ac:dyDescent="0.2">
      <c r="A120" s="435"/>
      <c r="B120" s="421"/>
    </row>
    <row r="121" spans="1:6" ht="18" customHeight="1" x14ac:dyDescent="0.2">
      <c r="A121" s="435" t="s">
        <v>167</v>
      </c>
      <c r="B121" s="421" t="s">
        <v>36</v>
      </c>
      <c r="F121" s="118">
        <v>100707481.83</v>
      </c>
    </row>
    <row r="122" spans="1:6" ht="18" customHeight="1" x14ac:dyDescent="0.2">
      <c r="A122" s="435"/>
    </row>
    <row r="123" spans="1:6" ht="18" customHeight="1" x14ac:dyDescent="0.2">
      <c r="A123" s="435" t="s">
        <v>175</v>
      </c>
      <c r="B123" s="421" t="s">
        <v>20</v>
      </c>
      <c r="F123" s="118">
        <v>-16672542.33</v>
      </c>
    </row>
    <row r="124" spans="1:6" ht="18" customHeight="1" x14ac:dyDescent="0.2">
      <c r="A124" s="435"/>
    </row>
    <row r="125" spans="1:6" ht="18" customHeight="1" x14ac:dyDescent="0.2">
      <c r="A125" s="435" t="s">
        <v>176</v>
      </c>
      <c r="B125" s="421" t="s">
        <v>21</v>
      </c>
      <c r="F125" s="118">
        <v>6567397.6699999999</v>
      </c>
    </row>
    <row r="126" spans="1:6" ht="18" customHeight="1" x14ac:dyDescent="0.2">
      <c r="A126" s="435"/>
    </row>
    <row r="127" spans="1:6" ht="18" customHeight="1" x14ac:dyDescent="0.2">
      <c r="A127" s="435" t="s">
        <v>177</v>
      </c>
      <c r="B127" s="421" t="s">
        <v>22</v>
      </c>
      <c r="F127" s="118">
        <v>-10105144.66</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3376.5</v>
      </c>
      <c r="G141" s="422">
        <f t="shared" si="14"/>
        <v>8496</v>
      </c>
      <c r="H141" s="422">
        <f t="shared" si="14"/>
        <v>752974</v>
      </c>
      <c r="I141" s="422">
        <f t="shared" si="14"/>
        <v>85043</v>
      </c>
      <c r="J141" s="422">
        <f t="shared" si="14"/>
        <v>492258</v>
      </c>
      <c r="K141" s="422">
        <f t="shared" si="14"/>
        <v>345759</v>
      </c>
    </row>
    <row r="142" spans="1:11" ht="18" customHeight="1" x14ac:dyDescent="0.2">
      <c r="A142" s="435" t="s">
        <v>142</v>
      </c>
      <c r="B142" s="421" t="s">
        <v>65</v>
      </c>
      <c r="F142" s="422">
        <f t="shared" ref="F142:K142" si="15">F49</f>
        <v>121</v>
      </c>
      <c r="G142" s="422">
        <f t="shared" si="15"/>
        <v>115</v>
      </c>
      <c r="H142" s="422">
        <f t="shared" si="15"/>
        <v>5778</v>
      </c>
      <c r="I142" s="422">
        <f t="shared" si="15"/>
        <v>1780</v>
      </c>
      <c r="J142" s="422">
        <f t="shared" si="15"/>
        <v>0</v>
      </c>
      <c r="K142" s="422">
        <f t="shared" si="15"/>
        <v>7558</v>
      </c>
    </row>
    <row r="143" spans="1:11" ht="18" customHeight="1" x14ac:dyDescent="0.2">
      <c r="A143" s="435" t="s">
        <v>144</v>
      </c>
      <c r="B143" s="421" t="s">
        <v>66</v>
      </c>
      <c r="F143" s="422">
        <f t="shared" ref="F143:K143" si="16">F64</f>
        <v>0</v>
      </c>
      <c r="G143" s="422">
        <f t="shared" si="16"/>
        <v>17762</v>
      </c>
      <c r="H143" s="422">
        <f t="shared" si="16"/>
        <v>2573814</v>
      </c>
      <c r="I143" s="422">
        <f t="shared" si="16"/>
        <v>1209161</v>
      </c>
      <c r="J143" s="422">
        <f t="shared" si="16"/>
        <v>669</v>
      </c>
      <c r="K143" s="422">
        <f t="shared" si="16"/>
        <v>3782306</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0</v>
      </c>
      <c r="G145" s="422">
        <f t="shared" si="18"/>
        <v>0</v>
      </c>
      <c r="H145" s="422">
        <f t="shared" si="18"/>
        <v>0</v>
      </c>
      <c r="I145" s="422">
        <f t="shared" si="18"/>
        <v>0</v>
      </c>
      <c r="J145" s="422">
        <f t="shared" si="18"/>
        <v>0</v>
      </c>
      <c r="K145" s="422">
        <f t="shared" si="18"/>
        <v>0</v>
      </c>
    </row>
    <row r="146" spans="1:11" ht="18" customHeight="1" x14ac:dyDescent="0.2">
      <c r="A146" s="435" t="s">
        <v>150</v>
      </c>
      <c r="B146" s="421" t="s">
        <v>69</v>
      </c>
      <c r="F146" s="422">
        <f t="shared" ref="F146:K146" si="19">F98</f>
        <v>0</v>
      </c>
      <c r="G146" s="422">
        <f t="shared" si="19"/>
        <v>0</v>
      </c>
      <c r="H146" s="422">
        <f t="shared" si="19"/>
        <v>0</v>
      </c>
      <c r="I146" s="422">
        <f t="shared" si="19"/>
        <v>0</v>
      </c>
      <c r="J146" s="422">
        <f t="shared" si="19"/>
        <v>0</v>
      </c>
      <c r="K146" s="422">
        <f t="shared" si="19"/>
        <v>0</v>
      </c>
    </row>
    <row r="147" spans="1:11" ht="18" customHeight="1" x14ac:dyDescent="0.2">
      <c r="A147" s="435" t="s">
        <v>153</v>
      </c>
      <c r="B147" s="421" t="s">
        <v>61</v>
      </c>
      <c r="F147" s="221">
        <f t="shared" ref="F147:K147" si="20">F108</f>
        <v>356</v>
      </c>
      <c r="G147" s="221">
        <f t="shared" si="20"/>
        <v>4</v>
      </c>
      <c r="H147" s="221">
        <f t="shared" si="20"/>
        <v>64768</v>
      </c>
      <c r="I147" s="221">
        <f t="shared" si="20"/>
        <v>12249</v>
      </c>
      <c r="J147" s="221">
        <f t="shared" si="20"/>
        <v>0</v>
      </c>
      <c r="K147" s="221">
        <f t="shared" si="20"/>
        <v>77017</v>
      </c>
    </row>
    <row r="148" spans="1:11" ht="18" customHeight="1" x14ac:dyDescent="0.2">
      <c r="A148" s="435" t="s">
        <v>155</v>
      </c>
      <c r="B148" s="421" t="s">
        <v>70</v>
      </c>
      <c r="F148" s="485" t="s">
        <v>73</v>
      </c>
      <c r="G148" s="485" t="s">
        <v>73</v>
      </c>
      <c r="H148" s="486" t="s">
        <v>73</v>
      </c>
      <c r="I148" s="486" t="s">
        <v>73</v>
      </c>
      <c r="J148" s="486" t="s">
        <v>73</v>
      </c>
      <c r="K148" s="423">
        <f>F111</f>
        <v>4839365</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2272238.4</v>
      </c>
      <c r="I150" s="221">
        <f>I18</f>
        <v>0</v>
      </c>
      <c r="J150" s="221">
        <f>J18</f>
        <v>1920489.83</v>
      </c>
      <c r="K150" s="221">
        <f>K18</f>
        <v>351748.56999999983</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3853.5</v>
      </c>
      <c r="G152" s="487">
        <f t="shared" si="22"/>
        <v>26377</v>
      </c>
      <c r="H152" s="487">
        <f t="shared" si="22"/>
        <v>5669572.4000000004</v>
      </c>
      <c r="I152" s="487">
        <f t="shared" si="22"/>
        <v>1308233</v>
      </c>
      <c r="J152" s="487">
        <f t="shared" si="22"/>
        <v>2413416.83</v>
      </c>
      <c r="K152" s="487">
        <f t="shared" si="22"/>
        <v>9403753.5700000003</v>
      </c>
    </row>
    <row r="154" spans="1:11" ht="18" customHeight="1" x14ac:dyDescent="0.2">
      <c r="A154" s="455" t="s">
        <v>168</v>
      </c>
      <c r="B154" s="421" t="s">
        <v>28</v>
      </c>
      <c r="F154" s="140">
        <f>K152/F121</f>
        <v>9.3376911021110384E-2</v>
      </c>
    </row>
    <row r="155" spans="1:11" ht="18" customHeight="1" x14ac:dyDescent="0.2">
      <c r="A155" s="455" t="s">
        <v>169</v>
      </c>
      <c r="B155" s="421" t="s">
        <v>72</v>
      </c>
      <c r="F155" s="140">
        <f>K152/F127</f>
        <v>-0.93059069280063134</v>
      </c>
      <c r="G155" s="421"/>
    </row>
    <row r="156" spans="1:11" ht="18" customHeight="1" x14ac:dyDescent="0.2">
      <c r="G156" s="421"/>
    </row>
  </sheetData>
  <sheetProtection algorithmName="SHA-512" hashValue="1dYPIBW1dfUkai43DiUlCal6/o2qybQo386+K0yd3uGeLEzcKTt7M9Q4rbgXWseklNM7etjlYJvpaOkELdO0+w==" saltValue="Q43KKKVgsV9ZlmluTzpmEQ==" spinCount="100000" sheet="1" objects="1" scenarios="1"/>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K255"/>
  <sheetViews>
    <sheetView showGridLines="0" zoomScaleNormal="100" zoomScaleSheetLayoutView="50" workbookViewId="0"/>
  </sheetViews>
  <sheetFormatPr defaultRowHeight="18" customHeight="1" x14ac:dyDescent="0.2"/>
  <cols>
    <col min="1" max="1" width="8.42578125" style="430" customWidth="1"/>
    <col min="2" max="2" width="50.5703125" style="259" customWidth="1"/>
    <col min="3" max="4" width="2.5703125" style="259" customWidth="1"/>
    <col min="5" max="5" width="7.42578125" style="259" bestFit="1" customWidth="1"/>
    <col min="6" max="6" width="13.85546875" style="259" customWidth="1"/>
    <col min="7" max="7" width="19.42578125" style="259" customWidth="1"/>
    <col min="8" max="8" width="12.42578125" style="259" customWidth="1"/>
    <col min="9" max="9" width="14" style="259" customWidth="1"/>
    <col min="10" max="10" width="15.42578125" style="259" customWidth="1"/>
    <col min="11" max="11" width="19.1406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909" t="s">
        <v>612</v>
      </c>
      <c r="E2" s="910"/>
      <c r="F2" s="910"/>
      <c r="G2" s="910"/>
      <c r="H2" s="910"/>
    </row>
    <row r="3" spans="1:11" ht="18" customHeight="1" x14ac:dyDescent="0.2">
      <c r="B3" s="421" t="s">
        <v>0</v>
      </c>
    </row>
    <row r="4" spans="1:11" ht="12.75" x14ac:dyDescent="0.2"/>
    <row r="5" spans="1:11" ht="18" customHeight="1" x14ac:dyDescent="0.2">
      <c r="B5" s="435" t="s">
        <v>40</v>
      </c>
      <c r="C5" s="436" t="s">
        <v>523</v>
      </c>
      <c r="D5" s="437"/>
      <c r="E5" s="437"/>
      <c r="F5" s="437"/>
      <c r="G5" s="438"/>
    </row>
    <row r="6" spans="1:11" ht="18" customHeight="1" x14ac:dyDescent="0.2">
      <c r="B6" s="435" t="s">
        <v>3</v>
      </c>
      <c r="C6" s="893">
        <v>210058</v>
      </c>
      <c r="D6" s="894"/>
      <c r="E6" s="894"/>
      <c r="F6" s="894"/>
      <c r="G6" s="895"/>
    </row>
    <row r="7" spans="1:11" ht="18" customHeight="1" x14ac:dyDescent="0.2">
      <c r="B7" s="435" t="s">
        <v>4</v>
      </c>
      <c r="C7" s="398">
        <v>667</v>
      </c>
      <c r="D7" s="399"/>
      <c r="E7" s="399"/>
      <c r="F7" s="399"/>
      <c r="G7" s="400"/>
    </row>
    <row r="8" spans="1:11" ht="12.75" x14ac:dyDescent="0.2"/>
    <row r="9" spans="1:11" ht="18" customHeight="1" x14ac:dyDescent="0.2">
      <c r="B9" s="435" t="s">
        <v>1</v>
      </c>
      <c r="C9" s="436" t="s">
        <v>588</v>
      </c>
      <c r="D9" s="437"/>
      <c r="E9" s="437"/>
      <c r="F9" s="437"/>
      <c r="G9" s="438"/>
    </row>
    <row r="10" spans="1:11" ht="18" customHeight="1" x14ac:dyDescent="0.2">
      <c r="B10" s="435" t="s">
        <v>2</v>
      </c>
      <c r="C10" s="445" t="s">
        <v>589</v>
      </c>
      <c r="D10" s="446"/>
      <c r="E10" s="446"/>
      <c r="F10" s="446"/>
      <c r="G10" s="447"/>
    </row>
    <row r="11" spans="1:11" ht="18" customHeight="1" x14ac:dyDescent="0.2">
      <c r="B11" s="435" t="s">
        <v>32</v>
      </c>
      <c r="C11" s="436" t="s">
        <v>590</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c r="E17" s="911"/>
      <c r="F17" s="912"/>
      <c r="G17" s="912"/>
      <c r="H17" s="912"/>
      <c r="I17" s="913"/>
      <c r="J17" s="914"/>
      <c r="K17" s="914"/>
    </row>
    <row r="18" spans="1:11" ht="18" customHeight="1" x14ac:dyDescent="0.2">
      <c r="A18" s="435" t="s">
        <v>185</v>
      </c>
      <c r="B18" s="419" t="s">
        <v>183</v>
      </c>
      <c r="F18" s="221" t="s">
        <v>73</v>
      </c>
      <c r="G18" s="221" t="s">
        <v>73</v>
      </c>
      <c r="H18" s="103">
        <v>2662584.5579730975</v>
      </c>
      <c r="I18" s="133">
        <v>0</v>
      </c>
      <c r="J18" s="103">
        <v>2250409.3599020224</v>
      </c>
      <c r="K18" s="103">
        <f>(H18+I18)-J18</f>
        <v>412175.19807107514</v>
      </c>
    </row>
    <row r="19" spans="1:11" ht="25.5"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63</v>
      </c>
      <c r="G21" s="221">
        <v>20</v>
      </c>
      <c r="H21" s="118">
        <v>3174</v>
      </c>
      <c r="I21" s="251">
        <f t="shared" ref="I21:I34" si="0">H21*F$114</f>
        <v>1227.5639053311229</v>
      </c>
      <c r="J21" s="103"/>
      <c r="K21" s="103">
        <f t="shared" ref="K21:K34" si="1">(H21+I21)-J21</f>
        <v>4401.5639053311224</v>
      </c>
    </row>
    <row r="22" spans="1:11" ht="18" customHeight="1" x14ac:dyDescent="0.2">
      <c r="A22" s="435" t="s">
        <v>76</v>
      </c>
      <c r="B22" s="259" t="s">
        <v>6</v>
      </c>
      <c r="F22" s="221">
        <v>564</v>
      </c>
      <c r="G22" s="221">
        <v>1162</v>
      </c>
      <c r="H22" s="103">
        <v>26965</v>
      </c>
      <c r="I22" s="251">
        <f t="shared" si="0"/>
        <v>10428.878609720772</v>
      </c>
      <c r="J22" s="103"/>
      <c r="K22" s="103">
        <f t="shared" si="1"/>
        <v>37393.87860972077</v>
      </c>
    </row>
    <row r="23" spans="1:11" ht="18" customHeight="1" x14ac:dyDescent="0.2">
      <c r="A23" s="435" t="s">
        <v>77</v>
      </c>
      <c r="B23" s="259" t="s">
        <v>43</v>
      </c>
      <c r="F23" s="221"/>
      <c r="G23" s="221"/>
      <c r="H23" s="103"/>
      <c r="I23" s="251">
        <f t="shared" si="0"/>
        <v>0</v>
      </c>
      <c r="J23" s="103"/>
      <c r="K23" s="103">
        <f t="shared" si="1"/>
        <v>0</v>
      </c>
    </row>
    <row r="24" spans="1:11" ht="18" customHeight="1" x14ac:dyDescent="0.2">
      <c r="A24" s="435" t="s">
        <v>78</v>
      </c>
      <c r="B24" s="259" t="s">
        <v>44</v>
      </c>
      <c r="F24" s="221"/>
      <c r="G24" s="221">
        <v>20</v>
      </c>
      <c r="H24" s="103">
        <v>2395</v>
      </c>
      <c r="I24" s="251">
        <f t="shared" si="0"/>
        <v>926.28089264903576</v>
      </c>
      <c r="J24" s="103"/>
      <c r="K24" s="103">
        <f t="shared" si="1"/>
        <v>3321.2808926490356</v>
      </c>
    </row>
    <row r="25" spans="1:11" ht="18" customHeight="1" x14ac:dyDescent="0.2">
      <c r="A25" s="435" t="s">
        <v>79</v>
      </c>
      <c r="B25" s="259" t="s">
        <v>5</v>
      </c>
      <c r="F25" s="221"/>
      <c r="G25" s="221"/>
      <c r="H25" s="103"/>
      <c r="I25" s="251">
        <f t="shared" si="0"/>
        <v>0</v>
      </c>
      <c r="J25" s="103"/>
      <c r="K25" s="103">
        <f t="shared" si="1"/>
        <v>0</v>
      </c>
    </row>
    <row r="26" spans="1:11" ht="18" customHeight="1" x14ac:dyDescent="0.2">
      <c r="A26" s="435" t="s">
        <v>80</v>
      </c>
      <c r="B26" s="259" t="s">
        <v>45</v>
      </c>
      <c r="F26" s="221"/>
      <c r="G26" s="221"/>
      <c r="H26" s="103"/>
      <c r="I26" s="251">
        <f t="shared" si="0"/>
        <v>0</v>
      </c>
      <c r="J26" s="103"/>
      <c r="K26" s="103">
        <f t="shared" si="1"/>
        <v>0</v>
      </c>
    </row>
    <row r="27" spans="1:11" ht="18" customHeight="1" x14ac:dyDescent="0.2">
      <c r="A27" s="435" t="s">
        <v>81</v>
      </c>
      <c r="B27" s="259" t="s">
        <v>536</v>
      </c>
      <c r="F27" s="221"/>
      <c r="G27" s="221"/>
      <c r="H27" s="103"/>
      <c r="I27" s="251">
        <f t="shared" si="0"/>
        <v>0</v>
      </c>
      <c r="J27" s="103"/>
      <c r="K27" s="103">
        <f t="shared" si="1"/>
        <v>0</v>
      </c>
    </row>
    <row r="28" spans="1:11" ht="18" customHeight="1" x14ac:dyDescent="0.2">
      <c r="A28" s="435" t="s">
        <v>82</v>
      </c>
      <c r="B28" s="259" t="s">
        <v>47</v>
      </c>
      <c r="F28" s="221"/>
      <c r="G28" s="221"/>
      <c r="H28" s="103"/>
      <c r="I28" s="251">
        <f t="shared" si="0"/>
        <v>0</v>
      </c>
      <c r="J28" s="103"/>
      <c r="K28" s="103">
        <f t="shared" si="1"/>
        <v>0</v>
      </c>
    </row>
    <row r="29" spans="1:11" ht="18" customHeight="1" x14ac:dyDescent="0.2">
      <c r="A29" s="435" t="s">
        <v>83</v>
      </c>
      <c r="B29" s="259" t="s">
        <v>48</v>
      </c>
      <c r="F29" s="221"/>
      <c r="G29" s="221"/>
      <c r="H29" s="103"/>
      <c r="I29" s="251">
        <f t="shared" si="0"/>
        <v>0</v>
      </c>
      <c r="J29" s="103"/>
      <c r="K29" s="103">
        <f t="shared" si="1"/>
        <v>0</v>
      </c>
    </row>
    <row r="30" spans="1:11" ht="18" customHeight="1" x14ac:dyDescent="0.2">
      <c r="A30" s="435" t="s">
        <v>84</v>
      </c>
      <c r="B30" s="456" t="s">
        <v>591</v>
      </c>
      <c r="C30" s="457"/>
      <c r="D30" s="458"/>
      <c r="F30" s="221">
        <v>1</v>
      </c>
      <c r="G30" s="221">
        <v>300</v>
      </c>
      <c r="H30" s="103">
        <v>500</v>
      </c>
      <c r="I30" s="251">
        <f t="shared" si="0"/>
        <v>193.37805692046675</v>
      </c>
      <c r="J30" s="103"/>
      <c r="K30" s="103">
        <f t="shared" si="1"/>
        <v>693.37805692046675</v>
      </c>
    </row>
    <row r="31" spans="1:11" ht="18" customHeight="1" x14ac:dyDescent="0.2">
      <c r="A31" s="435" t="s">
        <v>133</v>
      </c>
      <c r="B31" s="456" t="s">
        <v>440</v>
      </c>
      <c r="C31" s="457"/>
      <c r="D31" s="458"/>
      <c r="F31" s="221">
        <v>40</v>
      </c>
      <c r="G31" s="221">
        <v>258</v>
      </c>
      <c r="H31" s="103">
        <v>864</v>
      </c>
      <c r="I31" s="251">
        <f t="shared" si="0"/>
        <v>334.15728235856653</v>
      </c>
      <c r="J31" s="103"/>
      <c r="K31" s="103">
        <f t="shared" si="1"/>
        <v>1198.1572823585666</v>
      </c>
    </row>
    <row r="32" spans="1:11" ht="18" customHeight="1" x14ac:dyDescent="0.2">
      <c r="A32" s="435" t="s">
        <v>134</v>
      </c>
      <c r="B32" s="459" t="s">
        <v>734</v>
      </c>
      <c r="C32" s="460"/>
      <c r="D32" s="461"/>
      <c r="F32" s="221"/>
      <c r="G32" s="255" t="s">
        <v>85</v>
      </c>
      <c r="H32" s="103">
        <v>2975</v>
      </c>
      <c r="I32" s="251">
        <f t="shared" si="0"/>
        <v>1150.5994386767773</v>
      </c>
      <c r="J32" s="103"/>
      <c r="K32" s="103">
        <f t="shared" si="1"/>
        <v>4125.599438676777</v>
      </c>
    </row>
    <row r="33" spans="1:11" ht="18" customHeight="1" x14ac:dyDescent="0.2">
      <c r="A33" s="435" t="s">
        <v>135</v>
      </c>
      <c r="B33" s="459"/>
      <c r="C33" s="460"/>
      <c r="D33" s="461"/>
      <c r="F33" s="221"/>
      <c r="G33" s="255" t="s">
        <v>85</v>
      </c>
      <c r="H33" s="103"/>
      <c r="I33" s="251">
        <f t="shared" si="0"/>
        <v>0</v>
      </c>
      <c r="J33" s="103"/>
      <c r="K33" s="103">
        <f t="shared" si="1"/>
        <v>0</v>
      </c>
    </row>
    <row r="34" spans="1:11" ht="18" customHeight="1" x14ac:dyDescent="0.2">
      <c r="A34" s="435" t="s">
        <v>136</v>
      </c>
      <c r="B34" s="456"/>
      <c r="C34" s="457"/>
      <c r="D34" s="458"/>
      <c r="F34" s="221"/>
      <c r="G34" s="255" t="s">
        <v>85</v>
      </c>
      <c r="H34" s="103"/>
      <c r="I34" s="251">
        <f t="shared" si="0"/>
        <v>0</v>
      </c>
      <c r="J34" s="103"/>
      <c r="K34" s="103">
        <f t="shared" si="1"/>
        <v>0</v>
      </c>
    </row>
    <row r="35" spans="1:11" ht="18" customHeight="1" x14ac:dyDescent="0.2">
      <c r="H35" s="261"/>
      <c r="I35" s="261"/>
      <c r="J35" s="261"/>
      <c r="K35" s="915"/>
    </row>
    <row r="36" spans="1:11" ht="18" customHeight="1" x14ac:dyDescent="0.2">
      <c r="A36" s="455" t="s">
        <v>137</v>
      </c>
      <c r="B36" s="421" t="s">
        <v>138</v>
      </c>
      <c r="E36" s="421" t="s">
        <v>7</v>
      </c>
      <c r="F36" s="221">
        <f t="shared" ref="F36:K36" si="2">SUM(F21:F34)</f>
        <v>668</v>
      </c>
      <c r="G36" s="221">
        <f t="shared" si="2"/>
        <v>1760</v>
      </c>
      <c r="H36" s="103">
        <f t="shared" si="2"/>
        <v>36873</v>
      </c>
      <c r="I36" s="103">
        <f t="shared" si="2"/>
        <v>14260.858185656742</v>
      </c>
      <c r="J36" s="103">
        <f t="shared" si="2"/>
        <v>0</v>
      </c>
      <c r="K36" s="103">
        <f t="shared" si="2"/>
        <v>51133.85818565674</v>
      </c>
    </row>
    <row r="37" spans="1:11" ht="18" customHeight="1" x14ac:dyDescent="0.2">
      <c r="H37" s="261"/>
      <c r="I37" s="261"/>
      <c r="J37" s="261"/>
      <c r="K37" s="261"/>
    </row>
    <row r="38" spans="1:11" ht="42.6" customHeight="1" x14ac:dyDescent="0.2">
      <c r="F38" s="454" t="s">
        <v>9</v>
      </c>
      <c r="G38" s="454" t="s">
        <v>37</v>
      </c>
      <c r="H38" s="916" t="s">
        <v>29</v>
      </c>
      <c r="I38" s="916" t="s">
        <v>30</v>
      </c>
      <c r="J38" s="916" t="s">
        <v>33</v>
      </c>
      <c r="K38" s="916" t="s">
        <v>34</v>
      </c>
    </row>
    <row r="39" spans="1:11" ht="18.75" customHeight="1" x14ac:dyDescent="0.2">
      <c r="A39" s="455" t="s">
        <v>86</v>
      </c>
      <c r="B39" s="421" t="s">
        <v>49</v>
      </c>
      <c r="H39" s="261"/>
      <c r="I39" s="261"/>
      <c r="J39" s="261"/>
      <c r="K39" s="261"/>
    </row>
    <row r="40" spans="1:11" ht="18" customHeight="1" x14ac:dyDescent="0.2">
      <c r="A40" s="435" t="s">
        <v>87</v>
      </c>
      <c r="B40" s="259" t="s">
        <v>31</v>
      </c>
      <c r="F40" s="221">
        <v>56310.65048860306</v>
      </c>
      <c r="G40" s="221"/>
      <c r="H40" s="103">
        <v>3818820.3252000003</v>
      </c>
      <c r="I40" s="251">
        <f t="shared" ref="I40:I47" si="3">H40*F$114</f>
        <v>1476952.108431122</v>
      </c>
      <c r="J40" s="103"/>
      <c r="K40" s="103">
        <f t="shared" ref="K40:K47" si="4">(H40+I40)-J40</f>
        <v>5295772.4336311221</v>
      </c>
    </row>
    <row r="41" spans="1:11" ht="18" customHeight="1" x14ac:dyDescent="0.2">
      <c r="A41" s="435" t="s">
        <v>88</v>
      </c>
      <c r="B41" s="465" t="s">
        <v>50</v>
      </c>
      <c r="C41" s="466"/>
      <c r="F41" s="221"/>
      <c r="G41" s="221">
        <v>49</v>
      </c>
      <c r="H41" s="103">
        <v>26864</v>
      </c>
      <c r="I41" s="251">
        <f t="shared" si="3"/>
        <v>10389.816242222838</v>
      </c>
      <c r="J41" s="103"/>
      <c r="K41" s="103">
        <f t="shared" si="4"/>
        <v>37253.816242222834</v>
      </c>
    </row>
    <row r="42" spans="1:11" ht="18" customHeight="1" x14ac:dyDescent="0.2">
      <c r="A42" s="435" t="s">
        <v>89</v>
      </c>
      <c r="B42" s="419" t="s">
        <v>11</v>
      </c>
      <c r="F42" s="221">
        <v>14701</v>
      </c>
      <c r="G42" s="221">
        <v>218</v>
      </c>
      <c r="H42" s="103">
        <v>626283</v>
      </c>
      <c r="I42" s="251">
        <f t="shared" si="3"/>
        <v>242218.77924464137</v>
      </c>
      <c r="J42" s="103"/>
      <c r="K42" s="103">
        <f t="shared" si="4"/>
        <v>868501.77924464131</v>
      </c>
    </row>
    <row r="43" spans="1:11" ht="18" customHeight="1" x14ac:dyDescent="0.2">
      <c r="A43" s="435" t="s">
        <v>90</v>
      </c>
      <c r="B43" s="467" t="s">
        <v>10</v>
      </c>
      <c r="C43" s="468"/>
      <c r="D43" s="468"/>
      <c r="F43" s="221"/>
      <c r="G43" s="221"/>
      <c r="H43" s="103"/>
      <c r="I43" s="251">
        <f t="shared" si="3"/>
        <v>0</v>
      </c>
      <c r="J43" s="103"/>
      <c r="K43" s="103">
        <f t="shared" si="4"/>
        <v>0</v>
      </c>
    </row>
    <row r="44" spans="1:11" ht="18" customHeight="1" x14ac:dyDescent="0.2">
      <c r="A44" s="435" t="s">
        <v>91</v>
      </c>
      <c r="B44" s="456" t="s">
        <v>441</v>
      </c>
      <c r="C44" s="457"/>
      <c r="D44" s="458"/>
      <c r="F44" s="407">
        <v>188</v>
      </c>
      <c r="G44" s="407">
        <v>212</v>
      </c>
      <c r="H44" s="248">
        <v>4206</v>
      </c>
      <c r="I44" s="917">
        <f t="shared" si="3"/>
        <v>1626.6962148149662</v>
      </c>
      <c r="J44" s="248"/>
      <c r="K44" s="248">
        <f t="shared" si="4"/>
        <v>5832.696214814966</v>
      </c>
    </row>
    <row r="45" spans="1:11" ht="18" customHeight="1" x14ac:dyDescent="0.2">
      <c r="A45" s="435" t="s">
        <v>139</v>
      </c>
      <c r="B45" s="456" t="s">
        <v>369</v>
      </c>
      <c r="C45" s="457"/>
      <c r="D45" s="458"/>
      <c r="F45" s="221">
        <v>3360</v>
      </c>
      <c r="G45" s="221">
        <v>19</v>
      </c>
      <c r="H45" s="103">
        <v>135072</v>
      </c>
      <c r="I45" s="251">
        <f t="shared" si="3"/>
        <v>52239.921808722567</v>
      </c>
      <c r="J45" s="103"/>
      <c r="K45" s="103">
        <f t="shared" si="4"/>
        <v>187311.92180872257</v>
      </c>
    </row>
    <row r="46" spans="1:11" ht="18" customHeight="1" x14ac:dyDescent="0.2">
      <c r="A46" s="435" t="s">
        <v>140</v>
      </c>
      <c r="B46" s="918"/>
      <c r="C46" s="919"/>
      <c r="D46" s="920"/>
      <c r="F46" s="221"/>
      <c r="G46" s="221"/>
      <c r="H46" s="103"/>
      <c r="I46" s="251">
        <f t="shared" si="3"/>
        <v>0</v>
      </c>
      <c r="J46" s="103"/>
      <c r="K46" s="103">
        <f t="shared" si="4"/>
        <v>0</v>
      </c>
    </row>
    <row r="47" spans="1:11" ht="18" customHeight="1" x14ac:dyDescent="0.2">
      <c r="A47" s="435" t="s">
        <v>141</v>
      </c>
      <c r="B47" s="456"/>
      <c r="C47" s="457"/>
      <c r="D47" s="458"/>
      <c r="F47" s="221"/>
      <c r="G47" s="221"/>
      <c r="H47" s="103"/>
      <c r="I47" s="251">
        <f t="shared" si="3"/>
        <v>0</v>
      </c>
      <c r="J47" s="103"/>
      <c r="K47" s="103">
        <f t="shared" si="4"/>
        <v>0</v>
      </c>
    </row>
    <row r="48" spans="1:11" ht="18" customHeight="1" x14ac:dyDescent="0.2">
      <c r="H48" s="261"/>
      <c r="I48" s="261"/>
      <c r="J48" s="261"/>
      <c r="K48" s="261"/>
    </row>
    <row r="49" spans="1:11" ht="18" customHeight="1" x14ac:dyDescent="0.2">
      <c r="A49" s="455" t="s">
        <v>142</v>
      </c>
      <c r="B49" s="421" t="s">
        <v>143</v>
      </c>
      <c r="E49" s="421" t="s">
        <v>7</v>
      </c>
      <c r="F49" s="409">
        <f t="shared" ref="F49:K49" si="5">SUM(F40:F47)</f>
        <v>74559.65048860306</v>
      </c>
      <c r="G49" s="409">
        <f t="shared" si="5"/>
        <v>498</v>
      </c>
      <c r="H49" s="103">
        <f t="shared" si="5"/>
        <v>4611245.3252000008</v>
      </c>
      <c r="I49" s="103">
        <f t="shared" si="5"/>
        <v>1783427.3219415238</v>
      </c>
      <c r="J49" s="103">
        <f t="shared" si="5"/>
        <v>0</v>
      </c>
      <c r="K49" s="103">
        <f t="shared" si="5"/>
        <v>6394672.6471415237</v>
      </c>
    </row>
    <row r="50" spans="1:11" ht="18" customHeight="1" x14ac:dyDescent="0.2">
      <c r="H50" s="261"/>
      <c r="I50" s="261"/>
      <c r="J50" s="261"/>
      <c r="K50" s="261"/>
    </row>
    <row r="51" spans="1:11" ht="42.6" customHeight="1" x14ac:dyDescent="0.2">
      <c r="F51" s="454" t="s">
        <v>9</v>
      </c>
      <c r="G51" s="454" t="s">
        <v>37</v>
      </c>
      <c r="H51" s="916" t="s">
        <v>29</v>
      </c>
      <c r="I51" s="916" t="s">
        <v>30</v>
      </c>
      <c r="J51" s="916" t="s">
        <v>33</v>
      </c>
      <c r="K51" s="916" t="s">
        <v>34</v>
      </c>
    </row>
    <row r="52" spans="1:11" ht="18" customHeight="1" x14ac:dyDescent="0.2">
      <c r="A52" s="455" t="s">
        <v>92</v>
      </c>
      <c r="B52" s="470" t="s">
        <v>38</v>
      </c>
      <c r="C52" s="471"/>
      <c r="H52" s="261"/>
      <c r="I52" s="261"/>
      <c r="J52" s="261"/>
      <c r="K52" s="261"/>
    </row>
    <row r="53" spans="1:11" ht="18" customHeight="1" x14ac:dyDescent="0.2">
      <c r="A53" s="435" t="s">
        <v>51</v>
      </c>
      <c r="B53" s="610" t="str">
        <f>+[15]FY17!B53:D53</f>
        <v>Adapted Golf Program</v>
      </c>
      <c r="C53" s="921"/>
      <c r="D53" s="922"/>
      <c r="F53" s="221">
        <v>115</v>
      </c>
      <c r="G53" s="221">
        <v>275</v>
      </c>
      <c r="H53" s="103">
        <v>4100</v>
      </c>
      <c r="I53" s="251">
        <f t="shared" ref="I53:I62" si="6">H53*F$114</f>
        <v>1585.7000667478273</v>
      </c>
      <c r="J53" s="103"/>
      <c r="K53" s="103">
        <f t="shared" ref="K53:K62" si="7">(H53+I53)-J53</f>
        <v>5685.7000667478278</v>
      </c>
    </row>
    <row r="54" spans="1:11" ht="18" customHeight="1" x14ac:dyDescent="0.2">
      <c r="A54" s="435" t="s">
        <v>93</v>
      </c>
      <c r="B54" s="610" t="str">
        <f>+[15]FY17!B54:D54</f>
        <v>Adapted Sports Festival</v>
      </c>
      <c r="C54" s="921"/>
      <c r="D54" s="922"/>
      <c r="F54" s="221">
        <v>220</v>
      </c>
      <c r="G54" s="221">
        <v>120</v>
      </c>
      <c r="H54" s="103">
        <v>12193</v>
      </c>
      <c r="I54" s="251">
        <f t="shared" si="6"/>
        <v>4715.7172960625021</v>
      </c>
      <c r="J54" s="103"/>
      <c r="K54" s="103">
        <f t="shared" si="7"/>
        <v>16908.717296062503</v>
      </c>
    </row>
    <row r="55" spans="1:11" ht="18" customHeight="1" x14ac:dyDescent="0.2">
      <c r="A55" s="435" t="s">
        <v>94</v>
      </c>
      <c r="B55" s="610" t="str">
        <f>+[15]FY17!B55:D55</f>
        <v>Wheelchair Basketball Clinic</v>
      </c>
      <c r="C55" s="921"/>
      <c r="D55" s="922"/>
      <c r="F55" s="221">
        <v>87</v>
      </c>
      <c r="G55" s="221">
        <v>8</v>
      </c>
      <c r="H55" s="103">
        <v>16047</v>
      </c>
      <c r="I55" s="251">
        <f t="shared" si="6"/>
        <v>6206.2753588054602</v>
      </c>
      <c r="J55" s="103">
        <v>13500</v>
      </c>
      <c r="K55" s="103">
        <f t="shared" si="7"/>
        <v>8753.275358805462</v>
      </c>
    </row>
    <row r="56" spans="1:11" ht="18" customHeight="1" x14ac:dyDescent="0.2">
      <c r="A56" s="435" t="s">
        <v>95</v>
      </c>
      <c r="B56" s="610" t="str">
        <f>+[15]FY17!B56:D56</f>
        <v>Wheelchair Rugby</v>
      </c>
      <c r="C56" s="921"/>
      <c r="D56" s="922"/>
      <c r="F56" s="221">
        <v>14</v>
      </c>
      <c r="G56" s="221">
        <v>95</v>
      </c>
      <c r="H56" s="103">
        <v>36840</v>
      </c>
      <c r="I56" s="251">
        <f t="shared" si="6"/>
        <v>14248.09523389999</v>
      </c>
      <c r="J56" s="103"/>
      <c r="K56" s="103">
        <f t="shared" si="7"/>
        <v>51088.095233899992</v>
      </c>
    </row>
    <row r="57" spans="1:11" ht="18" customHeight="1" x14ac:dyDescent="0.2">
      <c r="A57" s="435" t="s">
        <v>96</v>
      </c>
      <c r="B57" s="610" t="str">
        <f>+[15]FY17!B57:D57</f>
        <v>Think First, Brain and Spinal Cord Injury Prevention</v>
      </c>
      <c r="C57" s="921"/>
      <c r="D57" s="922"/>
      <c r="F57" s="221">
        <v>84</v>
      </c>
      <c r="G57" s="221">
        <v>684</v>
      </c>
      <c r="H57" s="103">
        <v>3424</v>
      </c>
      <c r="I57" s="251">
        <f t="shared" si="6"/>
        <v>1324.2529337913563</v>
      </c>
      <c r="J57" s="103"/>
      <c r="K57" s="103">
        <f t="shared" si="7"/>
        <v>4748.2529337913566</v>
      </c>
    </row>
    <row r="58" spans="1:11" ht="18" customHeight="1" x14ac:dyDescent="0.2">
      <c r="A58" s="435" t="s">
        <v>97</v>
      </c>
      <c r="B58" s="610" t="s">
        <v>735</v>
      </c>
      <c r="C58" s="921"/>
      <c r="D58" s="922"/>
      <c r="F58" s="221">
        <v>14</v>
      </c>
      <c r="G58" s="221">
        <v>8</v>
      </c>
      <c r="H58" s="103">
        <v>459</v>
      </c>
      <c r="I58" s="251">
        <f t="shared" si="6"/>
        <v>177.52105625298847</v>
      </c>
      <c r="J58" s="103"/>
      <c r="K58" s="103">
        <f t="shared" si="7"/>
        <v>636.5210562529885</v>
      </c>
    </row>
    <row r="59" spans="1:11" ht="18" customHeight="1" x14ac:dyDescent="0.2">
      <c r="A59" s="435" t="s">
        <v>98</v>
      </c>
      <c r="B59" s="610" t="s">
        <v>736</v>
      </c>
      <c r="C59" s="921"/>
      <c r="D59" s="922"/>
      <c r="F59" s="221"/>
      <c r="G59" s="221">
        <v>128</v>
      </c>
      <c r="H59" s="103">
        <v>3020</v>
      </c>
      <c r="I59" s="251">
        <f t="shared" si="6"/>
        <v>1168.0034637996191</v>
      </c>
      <c r="J59" s="103"/>
      <c r="K59" s="103">
        <f t="shared" si="7"/>
        <v>4188.0034637996196</v>
      </c>
    </row>
    <row r="60" spans="1:11" ht="18" customHeight="1" x14ac:dyDescent="0.2">
      <c r="A60" s="435" t="s">
        <v>99</v>
      </c>
      <c r="B60" s="413"/>
      <c r="C60" s="414"/>
      <c r="D60" s="415"/>
      <c r="F60" s="221"/>
      <c r="G60" s="221"/>
      <c r="H60" s="103"/>
      <c r="I60" s="251">
        <f t="shared" si="6"/>
        <v>0</v>
      </c>
      <c r="J60" s="103"/>
      <c r="K60" s="103">
        <f t="shared" si="7"/>
        <v>0</v>
      </c>
    </row>
    <row r="61" spans="1:11" ht="18" customHeight="1" x14ac:dyDescent="0.2">
      <c r="A61" s="435" t="s">
        <v>100</v>
      </c>
      <c r="B61" s="420"/>
      <c r="C61" s="414"/>
      <c r="D61" s="415"/>
      <c r="F61" s="221"/>
      <c r="G61" s="221"/>
      <c r="H61" s="103"/>
      <c r="I61" s="251">
        <f t="shared" si="6"/>
        <v>0</v>
      </c>
      <c r="J61" s="103"/>
      <c r="K61" s="103">
        <f t="shared" si="7"/>
        <v>0</v>
      </c>
    </row>
    <row r="62" spans="1:11" ht="18" customHeight="1" x14ac:dyDescent="0.2">
      <c r="A62" s="435" t="s">
        <v>101</v>
      </c>
      <c r="B62" s="418"/>
      <c r="C62" s="417"/>
      <c r="D62" s="412"/>
      <c r="F62" s="221"/>
      <c r="G62" s="221"/>
      <c r="H62" s="103"/>
      <c r="I62" s="251">
        <f t="shared" si="6"/>
        <v>0</v>
      </c>
      <c r="J62" s="103"/>
      <c r="K62" s="103">
        <f t="shared" si="7"/>
        <v>0</v>
      </c>
    </row>
    <row r="63" spans="1:11" ht="18" customHeight="1" x14ac:dyDescent="0.2">
      <c r="A63" s="435"/>
      <c r="H63" s="261"/>
      <c r="I63" s="249"/>
      <c r="J63" s="261"/>
      <c r="K63" s="261"/>
    </row>
    <row r="64" spans="1:11" ht="18" customHeight="1" x14ac:dyDescent="0.2">
      <c r="A64" s="435" t="s">
        <v>144</v>
      </c>
      <c r="B64" s="421" t="s">
        <v>145</v>
      </c>
      <c r="E64" s="421" t="s">
        <v>7</v>
      </c>
      <c r="F64" s="221">
        <f t="shared" ref="F64:K64" si="8">SUM(F53:F62)</f>
        <v>534</v>
      </c>
      <c r="G64" s="221">
        <f t="shared" si="8"/>
        <v>1318</v>
      </c>
      <c r="H64" s="103">
        <f t="shared" si="8"/>
        <v>76083</v>
      </c>
      <c r="I64" s="103">
        <f t="shared" si="8"/>
        <v>29425.56540935974</v>
      </c>
      <c r="J64" s="103">
        <f t="shared" si="8"/>
        <v>13500</v>
      </c>
      <c r="K64" s="103">
        <f t="shared" si="8"/>
        <v>92008.56540935974</v>
      </c>
    </row>
    <row r="65" spans="1:11" ht="18" customHeight="1" x14ac:dyDescent="0.2">
      <c r="H65" s="261"/>
      <c r="I65" s="261"/>
      <c r="J65" s="261"/>
      <c r="K65" s="261"/>
    </row>
    <row r="66" spans="1:11" ht="42.75" customHeight="1" x14ac:dyDescent="0.2">
      <c r="F66" s="479" t="s">
        <v>9</v>
      </c>
      <c r="G66" s="479" t="s">
        <v>37</v>
      </c>
      <c r="H66" s="923" t="s">
        <v>29</v>
      </c>
      <c r="I66" s="923" t="s">
        <v>30</v>
      </c>
      <c r="J66" s="923" t="s">
        <v>33</v>
      </c>
      <c r="K66" s="923" t="s">
        <v>34</v>
      </c>
    </row>
    <row r="67" spans="1:11" ht="18" customHeight="1" x14ac:dyDescent="0.2">
      <c r="A67" s="455" t="s">
        <v>102</v>
      </c>
      <c r="B67" s="421" t="s">
        <v>12</v>
      </c>
      <c r="F67" s="480"/>
      <c r="G67" s="480"/>
      <c r="H67" s="250"/>
      <c r="I67" s="250"/>
      <c r="J67" s="250"/>
      <c r="K67" s="250"/>
    </row>
    <row r="68" spans="1:11" ht="18" customHeight="1" x14ac:dyDescent="0.2">
      <c r="A68" s="435" t="s">
        <v>103</v>
      </c>
      <c r="B68" s="259" t="s">
        <v>52</v>
      </c>
      <c r="F68" s="122"/>
      <c r="G68" s="122"/>
      <c r="H68" s="103"/>
      <c r="I68" s="251">
        <f t="shared" ref="I68:I72" si="9">H68*F$114</f>
        <v>0</v>
      </c>
      <c r="J68" s="103"/>
      <c r="K68" s="103">
        <f>(H68+I68)-J68</f>
        <v>0</v>
      </c>
    </row>
    <row r="69" spans="1:11" ht="18" customHeight="1" x14ac:dyDescent="0.2">
      <c r="A69" s="435" t="s">
        <v>104</v>
      </c>
      <c r="B69" s="419" t="s">
        <v>53</v>
      </c>
      <c r="F69" s="122"/>
      <c r="G69" s="122"/>
      <c r="H69" s="103"/>
      <c r="I69" s="251">
        <f t="shared" si="9"/>
        <v>0</v>
      </c>
      <c r="J69" s="103"/>
      <c r="K69" s="103">
        <f>(H69+I69)-J69</f>
        <v>0</v>
      </c>
    </row>
    <row r="70" spans="1:11" ht="18" customHeight="1" x14ac:dyDescent="0.2">
      <c r="A70" s="435" t="s">
        <v>178</v>
      </c>
      <c r="B70" s="420"/>
      <c r="C70" s="414"/>
      <c r="D70" s="415"/>
      <c r="E70" s="421"/>
      <c r="F70" s="422"/>
      <c r="G70" s="422"/>
      <c r="H70" s="886"/>
      <c r="I70" s="251">
        <f t="shared" si="9"/>
        <v>0</v>
      </c>
      <c r="J70" s="886"/>
      <c r="K70" s="103">
        <f>(H70+I70)-J70</f>
        <v>0</v>
      </c>
    </row>
    <row r="71" spans="1:11" ht="18" customHeight="1" x14ac:dyDescent="0.2">
      <c r="A71" s="435" t="s">
        <v>179</v>
      </c>
      <c r="B71" s="420"/>
      <c r="C71" s="414"/>
      <c r="D71" s="415"/>
      <c r="E71" s="421"/>
      <c r="F71" s="422"/>
      <c r="G71" s="422"/>
      <c r="H71" s="886"/>
      <c r="I71" s="251">
        <f t="shared" si="9"/>
        <v>0</v>
      </c>
      <c r="J71" s="886"/>
      <c r="K71" s="103">
        <f>(H71+I71)-J71</f>
        <v>0</v>
      </c>
    </row>
    <row r="72" spans="1:11" ht="18" customHeight="1" x14ac:dyDescent="0.2">
      <c r="A72" s="435" t="s">
        <v>180</v>
      </c>
      <c r="B72" s="424"/>
      <c r="C72" s="425"/>
      <c r="D72" s="426"/>
      <c r="E72" s="421"/>
      <c r="F72" s="221"/>
      <c r="G72" s="221"/>
      <c r="H72" s="103"/>
      <c r="I72" s="251">
        <f t="shared" si="9"/>
        <v>0</v>
      </c>
      <c r="J72" s="103"/>
      <c r="K72" s="103">
        <f>(H72+I72)-J72</f>
        <v>0</v>
      </c>
    </row>
    <row r="73" spans="1:11" ht="18" customHeight="1" x14ac:dyDescent="0.2">
      <c r="A73" s="435"/>
      <c r="B73" s="419"/>
      <c r="E73" s="421"/>
      <c r="F73" s="427"/>
      <c r="G73" s="427"/>
      <c r="H73" s="250"/>
      <c r="I73" s="250"/>
      <c r="J73" s="250"/>
      <c r="K73" s="250"/>
    </row>
    <row r="74" spans="1:11" ht="18" customHeight="1" x14ac:dyDescent="0.2">
      <c r="A74" s="455" t="s">
        <v>146</v>
      </c>
      <c r="B74" s="421" t="s">
        <v>147</v>
      </c>
      <c r="E74" s="421" t="s">
        <v>7</v>
      </c>
      <c r="F74" s="122">
        <f t="shared" ref="F74:K74" si="10">SUM(F68:F72)</f>
        <v>0</v>
      </c>
      <c r="G74" s="122">
        <f t="shared" si="10"/>
        <v>0</v>
      </c>
      <c r="H74" s="103">
        <f t="shared" si="10"/>
        <v>0</v>
      </c>
      <c r="I74" s="251">
        <f t="shared" si="10"/>
        <v>0</v>
      </c>
      <c r="J74" s="103">
        <f t="shared" si="10"/>
        <v>0</v>
      </c>
      <c r="K74" s="103">
        <f t="shared" si="10"/>
        <v>0</v>
      </c>
    </row>
    <row r="75" spans="1:11" ht="42.6" customHeight="1" x14ac:dyDescent="0.2">
      <c r="F75" s="454" t="s">
        <v>9</v>
      </c>
      <c r="G75" s="454" t="s">
        <v>37</v>
      </c>
      <c r="H75" s="916" t="s">
        <v>29</v>
      </c>
      <c r="I75" s="916" t="s">
        <v>30</v>
      </c>
      <c r="J75" s="916" t="s">
        <v>33</v>
      </c>
      <c r="K75" s="916" t="s">
        <v>34</v>
      </c>
    </row>
    <row r="76" spans="1:11" ht="18" customHeight="1" x14ac:dyDescent="0.2">
      <c r="A76" s="455" t="s">
        <v>105</v>
      </c>
      <c r="B76" s="421" t="s">
        <v>106</v>
      </c>
      <c r="H76" s="261"/>
      <c r="I76" s="261"/>
      <c r="J76" s="261"/>
      <c r="K76" s="261"/>
    </row>
    <row r="77" spans="1:11" ht="18" customHeight="1" x14ac:dyDescent="0.2">
      <c r="A77" s="435" t="s">
        <v>107</v>
      </c>
      <c r="B77" s="419" t="s">
        <v>54</v>
      </c>
      <c r="F77" s="221"/>
      <c r="G77" s="221"/>
      <c r="H77" s="103">
        <f>58275+3190</f>
        <v>61465</v>
      </c>
      <c r="I77" s="251">
        <f t="shared" ref="I77:I80" si="11">H77*F$114</f>
        <v>23771.964537232976</v>
      </c>
      <c r="J77" s="103"/>
      <c r="K77" s="103">
        <f>(H77+I77)-J77</f>
        <v>85236.964537232969</v>
      </c>
    </row>
    <row r="78" spans="1:11" ht="18" customHeight="1" x14ac:dyDescent="0.2">
      <c r="A78" s="435" t="s">
        <v>108</v>
      </c>
      <c r="B78" s="419" t="s">
        <v>55</v>
      </c>
      <c r="F78" s="221"/>
      <c r="G78" s="221"/>
      <c r="H78" s="103"/>
      <c r="I78" s="251">
        <f t="shared" si="11"/>
        <v>0</v>
      </c>
      <c r="J78" s="103"/>
      <c r="K78" s="103">
        <f>(H78+I78)-J78</f>
        <v>0</v>
      </c>
    </row>
    <row r="79" spans="1:11" ht="18" customHeight="1" x14ac:dyDescent="0.2">
      <c r="A79" s="435" t="s">
        <v>109</v>
      </c>
      <c r="B79" s="419" t="s">
        <v>13</v>
      </c>
      <c r="F79" s="221"/>
      <c r="G79" s="221"/>
      <c r="H79" s="103"/>
      <c r="I79" s="251">
        <f t="shared" si="11"/>
        <v>0</v>
      </c>
      <c r="J79" s="103"/>
      <c r="K79" s="103">
        <f>(H79+I79)-J79</f>
        <v>0</v>
      </c>
    </row>
    <row r="80" spans="1:11" ht="18" customHeight="1" x14ac:dyDescent="0.2">
      <c r="A80" s="435" t="s">
        <v>110</v>
      </c>
      <c r="B80" s="419" t="s">
        <v>56</v>
      </c>
      <c r="F80" s="221"/>
      <c r="G80" s="221"/>
      <c r="H80" s="103"/>
      <c r="I80" s="251">
        <f t="shared" si="11"/>
        <v>0</v>
      </c>
      <c r="J80" s="103"/>
      <c r="K80" s="103">
        <f>(H80+I80)-J80</f>
        <v>0</v>
      </c>
    </row>
    <row r="81" spans="1:11" ht="18" customHeight="1" x14ac:dyDescent="0.2">
      <c r="A81" s="435"/>
      <c r="H81" s="261"/>
      <c r="I81" s="261"/>
      <c r="J81" s="261"/>
      <c r="K81" s="924"/>
    </row>
    <row r="82" spans="1:11" ht="18" customHeight="1" x14ac:dyDescent="0.2">
      <c r="A82" s="435" t="s">
        <v>148</v>
      </c>
      <c r="B82" s="421" t="s">
        <v>149</v>
      </c>
      <c r="E82" s="421" t="s">
        <v>7</v>
      </c>
      <c r="F82" s="122">
        <f t="shared" ref="F82:K82" si="12">SUM(F77:F80)</f>
        <v>0</v>
      </c>
      <c r="G82" s="122">
        <f t="shared" si="12"/>
        <v>0</v>
      </c>
      <c r="H82" s="103">
        <f t="shared" si="12"/>
        <v>61465</v>
      </c>
      <c r="I82" s="103">
        <f t="shared" si="12"/>
        <v>23771.964537232976</v>
      </c>
      <c r="J82" s="103">
        <f t="shared" si="12"/>
        <v>0</v>
      </c>
      <c r="K82" s="103">
        <f t="shared" si="12"/>
        <v>85236.964537232969</v>
      </c>
    </row>
    <row r="83" spans="1:11" ht="18" customHeight="1" x14ac:dyDescent="0.2">
      <c r="H83" s="261"/>
      <c r="I83" s="261"/>
      <c r="J83" s="261"/>
      <c r="K83" s="261"/>
    </row>
    <row r="84" spans="1:11" ht="42.6" customHeight="1" x14ac:dyDescent="0.2">
      <c r="F84" s="454" t="s">
        <v>9</v>
      </c>
      <c r="G84" s="454" t="s">
        <v>37</v>
      </c>
      <c r="H84" s="916" t="s">
        <v>29</v>
      </c>
      <c r="I84" s="916" t="s">
        <v>30</v>
      </c>
      <c r="J84" s="916" t="s">
        <v>33</v>
      </c>
      <c r="K84" s="916" t="s">
        <v>34</v>
      </c>
    </row>
    <row r="85" spans="1:11" ht="18" customHeight="1" x14ac:dyDescent="0.2">
      <c r="A85" s="455" t="s">
        <v>111</v>
      </c>
      <c r="B85" s="421" t="s">
        <v>57</v>
      </c>
      <c r="H85" s="261"/>
      <c r="I85" s="261"/>
      <c r="J85" s="261"/>
      <c r="K85" s="261"/>
    </row>
    <row r="86" spans="1:11" ht="18" customHeight="1" x14ac:dyDescent="0.2">
      <c r="A86" s="435" t="s">
        <v>112</v>
      </c>
      <c r="B86" s="419" t="s">
        <v>113</v>
      </c>
      <c r="F86" s="221"/>
      <c r="G86" s="221"/>
      <c r="H86" s="103"/>
      <c r="I86" s="251">
        <f t="shared" ref="I86:I96" si="13">H86*F$114</f>
        <v>0</v>
      </c>
      <c r="J86" s="103"/>
      <c r="K86" s="103">
        <f t="shared" ref="K86:K96" si="14">(H86+I86)-J86</f>
        <v>0</v>
      </c>
    </row>
    <row r="87" spans="1:11" ht="18" customHeight="1" x14ac:dyDescent="0.2">
      <c r="A87" s="435" t="s">
        <v>114</v>
      </c>
      <c r="B87" s="419" t="s">
        <v>14</v>
      </c>
      <c r="F87" s="221"/>
      <c r="G87" s="221"/>
      <c r="H87" s="103"/>
      <c r="I87" s="251">
        <f t="shared" si="13"/>
        <v>0</v>
      </c>
      <c r="J87" s="103"/>
      <c r="K87" s="103">
        <f t="shared" si="14"/>
        <v>0</v>
      </c>
    </row>
    <row r="88" spans="1:11" ht="18" customHeight="1" x14ac:dyDescent="0.2">
      <c r="A88" s="435" t="s">
        <v>115</v>
      </c>
      <c r="B88" s="419" t="s">
        <v>116</v>
      </c>
      <c r="F88" s="221"/>
      <c r="G88" s="221"/>
      <c r="H88" s="103"/>
      <c r="I88" s="251">
        <f t="shared" si="13"/>
        <v>0</v>
      </c>
      <c r="J88" s="103"/>
      <c r="K88" s="103">
        <f t="shared" si="14"/>
        <v>0</v>
      </c>
    </row>
    <row r="89" spans="1:11" ht="18" customHeight="1" x14ac:dyDescent="0.2">
      <c r="A89" s="435" t="s">
        <v>117</v>
      </c>
      <c r="B89" s="419" t="s">
        <v>58</v>
      </c>
      <c r="F89" s="221"/>
      <c r="G89" s="221"/>
      <c r="H89" s="103"/>
      <c r="I89" s="251">
        <f t="shared" si="13"/>
        <v>0</v>
      </c>
      <c r="J89" s="103"/>
      <c r="K89" s="103">
        <f t="shared" si="14"/>
        <v>0</v>
      </c>
    </row>
    <row r="90" spans="1:11" ht="18" customHeight="1" x14ac:dyDescent="0.2">
      <c r="A90" s="435" t="s">
        <v>118</v>
      </c>
      <c r="B90" s="465" t="s">
        <v>59</v>
      </c>
      <c r="C90" s="466"/>
      <c r="F90" s="221"/>
      <c r="G90" s="221"/>
      <c r="H90" s="103"/>
      <c r="I90" s="251">
        <f t="shared" si="13"/>
        <v>0</v>
      </c>
      <c r="J90" s="103"/>
      <c r="K90" s="103">
        <f t="shared" si="14"/>
        <v>0</v>
      </c>
    </row>
    <row r="91" spans="1:11" ht="18" customHeight="1" x14ac:dyDescent="0.2">
      <c r="A91" s="435" t="s">
        <v>119</v>
      </c>
      <c r="B91" s="419" t="s">
        <v>60</v>
      </c>
      <c r="F91" s="221"/>
      <c r="G91" s="221"/>
      <c r="H91" s="103"/>
      <c r="I91" s="251">
        <f t="shared" si="13"/>
        <v>0</v>
      </c>
      <c r="J91" s="103"/>
      <c r="K91" s="103">
        <f t="shared" si="14"/>
        <v>0</v>
      </c>
    </row>
    <row r="92" spans="1:11" ht="18" customHeight="1" x14ac:dyDescent="0.2">
      <c r="A92" s="435" t="s">
        <v>120</v>
      </c>
      <c r="B92" s="419" t="s">
        <v>121</v>
      </c>
      <c r="F92" s="257"/>
      <c r="G92" s="257"/>
      <c r="H92" s="925"/>
      <c r="I92" s="251">
        <f t="shared" si="13"/>
        <v>0</v>
      </c>
      <c r="J92" s="925"/>
      <c r="K92" s="103">
        <f t="shared" si="14"/>
        <v>0</v>
      </c>
    </row>
    <row r="93" spans="1:11" ht="18" customHeight="1" x14ac:dyDescent="0.2">
      <c r="A93" s="435" t="s">
        <v>122</v>
      </c>
      <c r="B93" s="419" t="s">
        <v>123</v>
      </c>
      <c r="F93" s="257"/>
      <c r="G93" s="257">
        <v>40</v>
      </c>
      <c r="H93" s="103">
        <v>60190</v>
      </c>
      <c r="I93" s="251">
        <f t="shared" si="13"/>
        <v>23278.850492085789</v>
      </c>
      <c r="J93" s="103"/>
      <c r="K93" s="103">
        <f t="shared" si="14"/>
        <v>83468.850492085796</v>
      </c>
    </row>
    <row r="94" spans="1:11" ht="18" customHeight="1" x14ac:dyDescent="0.2">
      <c r="A94" s="435" t="s">
        <v>124</v>
      </c>
      <c r="B94" s="418"/>
      <c r="C94" s="417"/>
      <c r="D94" s="412"/>
      <c r="F94" s="221"/>
      <c r="G94" s="221"/>
      <c r="H94" s="103"/>
      <c r="I94" s="251">
        <f t="shared" si="13"/>
        <v>0</v>
      </c>
      <c r="J94" s="103"/>
      <c r="K94" s="103">
        <f t="shared" si="14"/>
        <v>0</v>
      </c>
    </row>
    <row r="95" spans="1:11" ht="18" customHeight="1" x14ac:dyDescent="0.2">
      <c r="A95" s="435" t="s">
        <v>125</v>
      </c>
      <c r="B95" s="418"/>
      <c r="C95" s="417"/>
      <c r="D95" s="412"/>
      <c r="F95" s="221"/>
      <c r="G95" s="221"/>
      <c r="H95" s="103"/>
      <c r="I95" s="251">
        <f t="shared" si="13"/>
        <v>0</v>
      </c>
      <c r="J95" s="103"/>
      <c r="K95" s="103">
        <f t="shared" si="14"/>
        <v>0</v>
      </c>
    </row>
    <row r="96" spans="1:11" ht="18" customHeight="1" x14ac:dyDescent="0.2">
      <c r="A96" s="435" t="s">
        <v>126</v>
      </c>
      <c r="B96" s="418"/>
      <c r="C96" s="417"/>
      <c r="D96" s="412"/>
      <c r="F96" s="221"/>
      <c r="G96" s="221"/>
      <c r="H96" s="103"/>
      <c r="I96" s="251">
        <f t="shared" si="13"/>
        <v>0</v>
      </c>
      <c r="J96" s="103"/>
      <c r="K96" s="103">
        <f t="shared" si="14"/>
        <v>0</v>
      </c>
    </row>
    <row r="97" spans="1:11" ht="18" customHeight="1" x14ac:dyDescent="0.2">
      <c r="A97" s="435"/>
      <c r="B97" s="419"/>
      <c r="H97" s="261"/>
      <c r="I97" s="261"/>
      <c r="J97" s="261"/>
      <c r="K97" s="261"/>
    </row>
    <row r="98" spans="1:11" ht="18" customHeight="1" x14ac:dyDescent="0.2">
      <c r="A98" s="455" t="s">
        <v>150</v>
      </c>
      <c r="B98" s="421" t="s">
        <v>151</v>
      </c>
      <c r="E98" s="421" t="s">
        <v>7</v>
      </c>
      <c r="F98" s="221">
        <f t="shared" ref="F98:K98" si="15">SUM(F86:F96)</f>
        <v>0</v>
      </c>
      <c r="G98" s="221">
        <f t="shared" si="15"/>
        <v>40</v>
      </c>
      <c r="H98" s="103">
        <f t="shared" si="15"/>
        <v>60190</v>
      </c>
      <c r="I98" s="103">
        <f t="shared" si="15"/>
        <v>23278.850492085789</v>
      </c>
      <c r="J98" s="103">
        <f t="shared" si="15"/>
        <v>0</v>
      </c>
      <c r="K98" s="103">
        <f t="shared" si="15"/>
        <v>83468.850492085796</v>
      </c>
    </row>
    <row r="99" spans="1:11" ht="18" customHeight="1" x14ac:dyDescent="0.2">
      <c r="H99" s="261"/>
      <c r="I99" s="261"/>
      <c r="J99" s="261"/>
      <c r="K99" s="261"/>
    </row>
    <row r="100" spans="1:11" ht="42.6" customHeight="1" x14ac:dyDescent="0.2">
      <c r="F100" s="454" t="s">
        <v>9</v>
      </c>
      <c r="G100" s="454" t="s">
        <v>37</v>
      </c>
      <c r="H100" s="916" t="s">
        <v>29</v>
      </c>
      <c r="I100" s="916" t="s">
        <v>30</v>
      </c>
      <c r="J100" s="916" t="s">
        <v>33</v>
      </c>
      <c r="K100" s="916" t="s">
        <v>34</v>
      </c>
    </row>
    <row r="101" spans="1:11" ht="18" customHeight="1" x14ac:dyDescent="0.2">
      <c r="A101" s="455" t="s">
        <v>130</v>
      </c>
      <c r="B101" s="421" t="s">
        <v>63</v>
      </c>
      <c r="H101" s="261"/>
      <c r="I101" s="261"/>
      <c r="J101" s="261"/>
      <c r="K101" s="261"/>
    </row>
    <row r="102" spans="1:11" ht="18" customHeight="1" x14ac:dyDescent="0.2">
      <c r="A102" s="435" t="s">
        <v>131</v>
      </c>
      <c r="B102" s="419" t="s">
        <v>152</v>
      </c>
      <c r="F102" s="221"/>
      <c r="G102" s="221"/>
      <c r="H102" s="103">
        <v>16779</v>
      </c>
      <c r="I102" s="251">
        <f t="shared" ref="I102:I106" si="16">H102*F$114</f>
        <v>6489.3808341370232</v>
      </c>
      <c r="J102" s="103"/>
      <c r="K102" s="103">
        <f>(H102+I102)-J102</f>
        <v>23268.380834137024</v>
      </c>
    </row>
    <row r="103" spans="1:11" ht="18" customHeight="1" x14ac:dyDescent="0.2">
      <c r="A103" s="435" t="s">
        <v>132</v>
      </c>
      <c r="B103" s="465" t="s">
        <v>62</v>
      </c>
      <c r="C103" s="465"/>
      <c r="F103" s="221"/>
      <c r="G103" s="221"/>
      <c r="H103" s="103">
        <v>13720</v>
      </c>
      <c r="I103" s="251">
        <f t="shared" si="16"/>
        <v>5306.2938818976072</v>
      </c>
      <c r="J103" s="103"/>
      <c r="K103" s="103">
        <f>(H103+I103)-J103</f>
        <v>19026.293881897607</v>
      </c>
    </row>
    <row r="104" spans="1:11" ht="18" customHeight="1" x14ac:dyDescent="0.2">
      <c r="A104" s="435" t="s">
        <v>128</v>
      </c>
      <c r="B104" s="418"/>
      <c r="C104" s="417"/>
      <c r="D104" s="412"/>
      <c r="F104" s="221"/>
      <c r="G104" s="221"/>
      <c r="H104" s="103"/>
      <c r="I104" s="251">
        <f t="shared" si="16"/>
        <v>0</v>
      </c>
      <c r="J104" s="103"/>
      <c r="K104" s="103">
        <f>(H104+I104)-J104</f>
        <v>0</v>
      </c>
    </row>
    <row r="105" spans="1:11" ht="18" customHeight="1" x14ac:dyDescent="0.2">
      <c r="A105" s="435" t="s">
        <v>127</v>
      </c>
      <c r="B105" s="418"/>
      <c r="C105" s="417"/>
      <c r="D105" s="412"/>
      <c r="F105" s="221"/>
      <c r="G105" s="221"/>
      <c r="H105" s="103"/>
      <c r="I105" s="251">
        <f t="shared" si="16"/>
        <v>0</v>
      </c>
      <c r="J105" s="103"/>
      <c r="K105" s="103">
        <f>(H105+I105)-J105</f>
        <v>0</v>
      </c>
    </row>
    <row r="106" spans="1:11" ht="18" customHeight="1" x14ac:dyDescent="0.2">
      <c r="A106" s="435" t="s">
        <v>129</v>
      </c>
      <c r="B106" s="418"/>
      <c r="C106" s="417"/>
      <c r="D106" s="412"/>
      <c r="F106" s="221"/>
      <c r="G106" s="221"/>
      <c r="H106" s="103"/>
      <c r="I106" s="251">
        <f t="shared" si="16"/>
        <v>0</v>
      </c>
      <c r="J106" s="103"/>
      <c r="K106" s="103">
        <f>(H106+I106)-J106</f>
        <v>0</v>
      </c>
    </row>
    <row r="107" spans="1:11" ht="18" customHeight="1" x14ac:dyDescent="0.2">
      <c r="B107" s="421"/>
      <c r="H107" s="261"/>
      <c r="I107" s="261"/>
      <c r="J107" s="261"/>
      <c r="K107" s="261"/>
    </row>
    <row r="108" spans="1:11" s="468" customFormat="1" ht="18" customHeight="1" x14ac:dyDescent="0.2">
      <c r="A108" s="455" t="s">
        <v>153</v>
      </c>
      <c r="B108" s="481" t="s">
        <v>154</v>
      </c>
      <c r="C108" s="259"/>
      <c r="D108" s="259"/>
      <c r="E108" s="421" t="s">
        <v>7</v>
      </c>
      <c r="F108" s="221">
        <f t="shared" ref="F108:K108" si="17">SUM(F102:F106)</f>
        <v>0</v>
      </c>
      <c r="G108" s="221">
        <f t="shared" si="17"/>
        <v>0</v>
      </c>
      <c r="H108" s="103">
        <f t="shared" si="17"/>
        <v>30499</v>
      </c>
      <c r="I108" s="103">
        <f t="shared" si="17"/>
        <v>11795.674716034631</v>
      </c>
      <c r="J108" s="103">
        <f t="shared" si="17"/>
        <v>0</v>
      </c>
      <c r="K108" s="103">
        <f t="shared" si="17"/>
        <v>42294.674716034628</v>
      </c>
    </row>
    <row r="109" spans="1:11" ht="18" customHeight="1" x14ac:dyDescent="0.2">
      <c r="H109" s="261"/>
      <c r="I109" s="261"/>
      <c r="J109" s="261"/>
      <c r="K109" s="261"/>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03">
        <v>2258000</v>
      </c>
    </row>
    <row r="112" spans="1:11" ht="18" customHeight="1" x14ac:dyDescent="0.2">
      <c r="B112" s="421"/>
      <c r="E112" s="421"/>
      <c r="F112" s="258"/>
    </row>
    <row r="113" spans="1:6" ht="12.75" x14ac:dyDescent="0.2">
      <c r="A113" s="455"/>
      <c r="B113" s="421" t="s">
        <v>15</v>
      </c>
    </row>
    <row r="114" spans="1:6" ht="12.75" x14ac:dyDescent="0.2">
      <c r="A114" s="435" t="s">
        <v>171</v>
      </c>
      <c r="B114" s="419" t="s">
        <v>35</v>
      </c>
      <c r="F114" s="140">
        <v>0.3867561138409335</v>
      </c>
    </row>
    <row r="115" spans="1:6" ht="12.75" x14ac:dyDescent="0.2">
      <c r="A115" s="435"/>
      <c r="B115" s="421"/>
    </row>
    <row r="116" spans="1:6" ht="12.75" x14ac:dyDescent="0.2">
      <c r="A116" s="435" t="s">
        <v>170</v>
      </c>
      <c r="B116" s="421" t="s">
        <v>16</v>
      </c>
    </row>
    <row r="117" spans="1:6" ht="12.75" x14ac:dyDescent="0.2">
      <c r="A117" s="435" t="s">
        <v>172</v>
      </c>
      <c r="B117" s="419" t="s">
        <v>17</v>
      </c>
      <c r="F117" s="103">
        <v>110469317.64</v>
      </c>
    </row>
    <row r="118" spans="1:6" ht="12.75" x14ac:dyDescent="0.2">
      <c r="A118" s="435" t="s">
        <v>173</v>
      </c>
      <c r="B118" s="259" t="s">
        <v>18</v>
      </c>
      <c r="F118" s="103">
        <v>2735000</v>
      </c>
    </row>
    <row r="119" spans="1:6" ht="12.75" x14ac:dyDescent="0.2">
      <c r="A119" s="435" t="s">
        <v>174</v>
      </c>
      <c r="B119" s="421" t="s">
        <v>19</v>
      </c>
      <c r="F119" s="103">
        <f>SUM(F117:F118)</f>
        <v>113204317.64</v>
      </c>
    </row>
    <row r="120" spans="1:6" ht="12.75" x14ac:dyDescent="0.2">
      <c r="A120" s="435"/>
      <c r="B120" s="421"/>
    </row>
    <row r="121" spans="1:6" ht="12.75" x14ac:dyDescent="0.2">
      <c r="A121" s="435" t="s">
        <v>167</v>
      </c>
      <c r="B121" s="421" t="s">
        <v>36</v>
      </c>
      <c r="F121" s="103">
        <v>109216000</v>
      </c>
    </row>
    <row r="122" spans="1:6" ht="12.75" x14ac:dyDescent="0.2">
      <c r="A122" s="435"/>
      <c r="F122" s="261"/>
    </row>
    <row r="123" spans="1:6" ht="12.75" x14ac:dyDescent="0.2">
      <c r="A123" s="435" t="s">
        <v>175</v>
      </c>
      <c r="B123" s="421" t="s">
        <v>20</v>
      </c>
      <c r="F123" s="103">
        <v>3988317.6400000006</v>
      </c>
    </row>
    <row r="124" spans="1:6" ht="12.75" x14ac:dyDescent="0.2">
      <c r="A124" s="435"/>
      <c r="F124" s="261"/>
    </row>
    <row r="125" spans="1:6" ht="12.75" x14ac:dyDescent="0.2">
      <c r="A125" s="435" t="s">
        <v>176</v>
      </c>
      <c r="B125" s="421" t="s">
        <v>21</v>
      </c>
      <c r="F125" s="103">
        <v>2052000</v>
      </c>
    </row>
    <row r="126" spans="1:6" ht="12.75" x14ac:dyDescent="0.2">
      <c r="A126" s="435"/>
      <c r="F126" s="261"/>
    </row>
    <row r="127" spans="1:6" ht="12.75" x14ac:dyDescent="0.2">
      <c r="A127" s="435" t="s">
        <v>177</v>
      </c>
      <c r="B127" s="421" t="s">
        <v>22</v>
      </c>
      <c r="F127" s="103">
        <v>6040317.6400000006</v>
      </c>
    </row>
    <row r="128" spans="1:6" ht="12.75" x14ac:dyDescent="0.2">
      <c r="A128" s="435"/>
    </row>
    <row r="129" spans="1:11" ht="42.6"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8">SUM(F131:F135)</f>
        <v>0</v>
      </c>
      <c r="G137" s="221">
        <f t="shared" si="18"/>
        <v>0</v>
      </c>
      <c r="H137" s="118">
        <f t="shared" si="18"/>
        <v>0</v>
      </c>
      <c r="I137" s="118">
        <f t="shared" si="18"/>
        <v>0</v>
      </c>
      <c r="J137" s="118">
        <f t="shared" si="18"/>
        <v>0</v>
      </c>
      <c r="K137" s="118">
        <f t="shared" si="18"/>
        <v>0</v>
      </c>
    </row>
    <row r="138" spans="1:11" ht="18" customHeight="1" x14ac:dyDescent="0.2">
      <c r="B138" s="421"/>
      <c r="H138" s="261"/>
      <c r="I138" s="261"/>
      <c r="J138" s="261"/>
      <c r="K138" s="261"/>
    </row>
    <row r="139" spans="1:11" ht="42.6"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9">F36</f>
        <v>668</v>
      </c>
      <c r="G141" s="422">
        <f t="shared" si="19"/>
        <v>1760</v>
      </c>
      <c r="H141" s="422">
        <f t="shared" si="19"/>
        <v>36873</v>
      </c>
      <c r="I141" s="422">
        <f t="shared" si="19"/>
        <v>14260.858185656742</v>
      </c>
      <c r="J141" s="422">
        <f t="shared" si="19"/>
        <v>0</v>
      </c>
      <c r="K141" s="422">
        <f t="shared" si="19"/>
        <v>51133.85818565674</v>
      </c>
    </row>
    <row r="142" spans="1:11" ht="18" customHeight="1" x14ac:dyDescent="0.2">
      <c r="A142" s="435" t="s">
        <v>142</v>
      </c>
      <c r="B142" s="421" t="s">
        <v>65</v>
      </c>
      <c r="F142" s="422">
        <f t="shared" ref="F142:K142" si="20">F49</f>
        <v>74559.65048860306</v>
      </c>
      <c r="G142" s="422">
        <f t="shared" si="20"/>
        <v>498</v>
      </c>
      <c r="H142" s="422">
        <f t="shared" si="20"/>
        <v>4611245.3252000008</v>
      </c>
      <c r="I142" s="422">
        <f t="shared" si="20"/>
        <v>1783427.3219415238</v>
      </c>
      <c r="J142" s="422">
        <f t="shared" si="20"/>
        <v>0</v>
      </c>
      <c r="K142" s="422">
        <f t="shared" si="20"/>
        <v>6394672.6471415237</v>
      </c>
    </row>
    <row r="143" spans="1:11" ht="18" customHeight="1" x14ac:dyDescent="0.2">
      <c r="A143" s="435" t="s">
        <v>144</v>
      </c>
      <c r="B143" s="421" t="s">
        <v>66</v>
      </c>
      <c r="F143" s="422">
        <f t="shared" ref="F143:K143" si="21">F64</f>
        <v>534</v>
      </c>
      <c r="G143" s="422">
        <f t="shared" si="21"/>
        <v>1318</v>
      </c>
      <c r="H143" s="422">
        <f t="shared" si="21"/>
        <v>76083</v>
      </c>
      <c r="I143" s="422">
        <f t="shared" si="21"/>
        <v>29425.56540935974</v>
      </c>
      <c r="J143" s="422">
        <f t="shared" si="21"/>
        <v>13500</v>
      </c>
      <c r="K143" s="422">
        <f t="shared" si="21"/>
        <v>92008.56540935974</v>
      </c>
    </row>
    <row r="144" spans="1:11" ht="18" customHeight="1" x14ac:dyDescent="0.2">
      <c r="A144" s="435" t="s">
        <v>146</v>
      </c>
      <c r="B144" s="421" t="s">
        <v>67</v>
      </c>
      <c r="F144" s="422">
        <f t="shared" ref="F144:K144" si="22">F74</f>
        <v>0</v>
      </c>
      <c r="G144" s="422">
        <f t="shared" si="22"/>
        <v>0</v>
      </c>
      <c r="H144" s="422">
        <f t="shared" si="22"/>
        <v>0</v>
      </c>
      <c r="I144" s="422">
        <f t="shared" si="22"/>
        <v>0</v>
      </c>
      <c r="J144" s="422">
        <f t="shared" si="22"/>
        <v>0</v>
      </c>
      <c r="K144" s="422">
        <f t="shared" si="22"/>
        <v>0</v>
      </c>
    </row>
    <row r="145" spans="1:11" ht="18" customHeight="1" x14ac:dyDescent="0.2">
      <c r="A145" s="435" t="s">
        <v>148</v>
      </c>
      <c r="B145" s="421" t="s">
        <v>68</v>
      </c>
      <c r="F145" s="422">
        <f t="shared" ref="F145:K145" si="23">F82</f>
        <v>0</v>
      </c>
      <c r="G145" s="422">
        <f t="shared" si="23"/>
        <v>0</v>
      </c>
      <c r="H145" s="422">
        <f t="shared" si="23"/>
        <v>61465</v>
      </c>
      <c r="I145" s="422">
        <f t="shared" si="23"/>
        <v>23771.964537232976</v>
      </c>
      <c r="J145" s="422">
        <f t="shared" si="23"/>
        <v>0</v>
      </c>
      <c r="K145" s="422">
        <f t="shared" si="23"/>
        <v>85236.964537232969</v>
      </c>
    </row>
    <row r="146" spans="1:11" ht="18" customHeight="1" x14ac:dyDescent="0.2">
      <c r="A146" s="435" t="s">
        <v>150</v>
      </c>
      <c r="B146" s="421" t="s">
        <v>69</v>
      </c>
      <c r="F146" s="422">
        <f t="shared" ref="F146:K146" si="24">F98</f>
        <v>0</v>
      </c>
      <c r="G146" s="422">
        <f t="shared" si="24"/>
        <v>40</v>
      </c>
      <c r="H146" s="422">
        <f t="shared" si="24"/>
        <v>60190</v>
      </c>
      <c r="I146" s="422">
        <f t="shared" si="24"/>
        <v>23278.850492085789</v>
      </c>
      <c r="J146" s="422">
        <f t="shared" si="24"/>
        <v>0</v>
      </c>
      <c r="K146" s="422">
        <f t="shared" si="24"/>
        <v>83468.850492085796</v>
      </c>
    </row>
    <row r="147" spans="1:11" ht="18" customHeight="1" x14ac:dyDescent="0.2">
      <c r="A147" s="435" t="s">
        <v>153</v>
      </c>
      <c r="B147" s="421" t="s">
        <v>61</v>
      </c>
      <c r="F147" s="221">
        <f t="shared" ref="F147:K147" si="25">F108</f>
        <v>0</v>
      </c>
      <c r="G147" s="221">
        <f t="shared" si="25"/>
        <v>0</v>
      </c>
      <c r="H147" s="221">
        <f t="shared" si="25"/>
        <v>30499</v>
      </c>
      <c r="I147" s="221">
        <f t="shared" si="25"/>
        <v>11795.674716034631</v>
      </c>
      <c r="J147" s="221">
        <f t="shared" si="25"/>
        <v>0</v>
      </c>
      <c r="K147" s="221">
        <f t="shared" si="25"/>
        <v>42294.674716034628</v>
      </c>
    </row>
    <row r="148" spans="1:11" ht="18" customHeight="1" x14ac:dyDescent="0.2">
      <c r="A148" s="435" t="s">
        <v>155</v>
      </c>
      <c r="B148" s="421" t="s">
        <v>70</v>
      </c>
      <c r="F148" s="485" t="s">
        <v>73</v>
      </c>
      <c r="G148" s="485" t="s">
        <v>73</v>
      </c>
      <c r="H148" s="486" t="s">
        <v>73</v>
      </c>
      <c r="I148" s="486" t="s">
        <v>73</v>
      </c>
      <c r="J148" s="486" t="s">
        <v>73</v>
      </c>
      <c r="K148" s="886">
        <f>F111</f>
        <v>2258000</v>
      </c>
    </row>
    <row r="149" spans="1:11" ht="18" customHeight="1" x14ac:dyDescent="0.2">
      <c r="A149" s="435" t="s">
        <v>163</v>
      </c>
      <c r="B149" s="421" t="s">
        <v>71</v>
      </c>
      <c r="F149" s="221">
        <f t="shared" ref="F149:K149" si="26">F137</f>
        <v>0</v>
      </c>
      <c r="G149" s="221">
        <f t="shared" si="26"/>
        <v>0</v>
      </c>
      <c r="H149" s="221">
        <f t="shared" si="26"/>
        <v>0</v>
      </c>
      <c r="I149" s="221">
        <f t="shared" si="26"/>
        <v>0</v>
      </c>
      <c r="J149" s="221">
        <f t="shared" si="26"/>
        <v>0</v>
      </c>
      <c r="K149" s="221">
        <f t="shared" si="26"/>
        <v>0</v>
      </c>
    </row>
    <row r="150" spans="1:11" ht="18" customHeight="1" x14ac:dyDescent="0.2">
      <c r="A150" s="435" t="s">
        <v>185</v>
      </c>
      <c r="B150" s="421" t="s">
        <v>186</v>
      </c>
      <c r="F150" s="485" t="s">
        <v>73</v>
      </c>
      <c r="G150" s="485" t="s">
        <v>73</v>
      </c>
      <c r="H150" s="221">
        <f>H18</f>
        <v>2662584.5579730975</v>
      </c>
      <c r="I150" s="221">
        <f>I18</f>
        <v>0</v>
      </c>
      <c r="J150" s="221">
        <f>J18</f>
        <v>2250409.3599020224</v>
      </c>
      <c r="K150" s="221">
        <f>K18</f>
        <v>412175.19807107514</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7">SUM(F141:F150)</f>
        <v>75761.65048860306</v>
      </c>
      <c r="G152" s="487">
        <f t="shared" si="27"/>
        <v>3616</v>
      </c>
      <c r="H152" s="487">
        <f t="shared" si="27"/>
        <v>7538939.8831730988</v>
      </c>
      <c r="I152" s="487">
        <f t="shared" si="27"/>
        <v>1885960.2352818938</v>
      </c>
      <c r="J152" s="487">
        <f t="shared" si="27"/>
        <v>2263909.3599020224</v>
      </c>
      <c r="K152" s="487">
        <f t="shared" si="27"/>
        <v>9418990.7585529685</v>
      </c>
    </row>
    <row r="153" spans="1:11" ht="18" customHeight="1" x14ac:dyDescent="0.2">
      <c r="B153" s="421"/>
      <c r="H153" s="261"/>
      <c r="I153" s="261"/>
      <c r="J153" s="261"/>
      <c r="K153" s="261"/>
    </row>
    <row r="154" spans="1:11" ht="18" customHeight="1" x14ac:dyDescent="0.2">
      <c r="A154" s="455" t="s">
        <v>168</v>
      </c>
      <c r="B154" s="421" t="s">
        <v>28</v>
      </c>
      <c r="F154" s="140">
        <f>K152/F121</f>
        <v>8.6241857956279006E-2</v>
      </c>
      <c r="K154" s="823"/>
    </row>
    <row r="155" spans="1:11" ht="18" customHeight="1" x14ac:dyDescent="0.2">
      <c r="A155" s="455" t="s">
        <v>169</v>
      </c>
      <c r="B155" s="421" t="s">
        <v>72</v>
      </c>
      <c r="F155" s="140">
        <f>K152/F127</f>
        <v>1.559353550578007</v>
      </c>
    </row>
    <row r="156" spans="1:11" ht="18" customHeight="1" x14ac:dyDescent="0.2">
      <c r="G156" s="421"/>
    </row>
    <row r="157" spans="1:11" ht="18" customHeight="1" x14ac:dyDescent="0.2">
      <c r="K157" s="516"/>
    </row>
    <row r="158" spans="1:11" ht="18" customHeight="1" x14ac:dyDescent="0.2">
      <c r="J158" s="499"/>
      <c r="K158" s="516"/>
    </row>
    <row r="159" spans="1:11" ht="12.75" x14ac:dyDescent="0.2"/>
    <row r="160" spans="1:11"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sheetData>
  <sheetProtection algorithmName="SHA-512" hashValue="kCPMsXmNLV0sSVNTFWrY1JYmuHDyyGlyYRkNi27LzPH8HRA3coVLAMt5LWKlufBor550jbDSBGltpHyys9/5OA==" saltValue="FmGZTWppHfUB2Rg/GGsH7A==" spinCount="100000" sheet="1" objects="1" scenarios="1"/>
  <mergeCells count="29">
    <mergeCell ref="B34:D34"/>
    <mergeCell ref="B41:C41"/>
    <mergeCell ref="C10:G10"/>
    <mergeCell ref="C11:G11"/>
    <mergeCell ref="B13:H13"/>
    <mergeCell ref="B30:D30"/>
    <mergeCell ref="B31:D31"/>
    <mergeCell ref="D2:H2"/>
    <mergeCell ref="C5:G5"/>
    <mergeCell ref="C6:G6"/>
    <mergeCell ref="C7:G7"/>
    <mergeCell ref="C9:G9"/>
    <mergeCell ref="B44:D44"/>
    <mergeCell ref="B45:D45"/>
    <mergeCell ref="B46:D46"/>
    <mergeCell ref="B47:D47"/>
    <mergeCell ref="B52:C52"/>
    <mergeCell ref="B62:D62"/>
    <mergeCell ref="B90:C90"/>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K156"/>
  <sheetViews>
    <sheetView showGridLines="0" zoomScaleNormal="100" zoomScaleSheetLayoutView="10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459</v>
      </c>
      <c r="D5" s="448"/>
      <c r="E5" s="448"/>
      <c r="F5" s="448"/>
      <c r="G5" s="449"/>
    </row>
    <row r="6" spans="1:11" ht="18" customHeight="1" x14ac:dyDescent="0.2">
      <c r="B6" s="435" t="s">
        <v>3</v>
      </c>
      <c r="C6" s="439">
        <v>210056</v>
      </c>
      <c r="D6" s="440"/>
      <c r="E6" s="440"/>
      <c r="F6" s="440"/>
      <c r="G6" s="441"/>
    </row>
    <row r="7" spans="1:11" ht="18" customHeight="1" x14ac:dyDescent="0.2">
      <c r="B7" s="435" t="s">
        <v>4</v>
      </c>
      <c r="C7" s="492">
        <v>1722</v>
      </c>
      <c r="D7" s="493"/>
      <c r="E7" s="493"/>
      <c r="F7" s="493"/>
      <c r="G7" s="494"/>
    </row>
    <row r="9" spans="1:11" ht="18" customHeight="1" x14ac:dyDescent="0.2">
      <c r="B9" s="435" t="s">
        <v>1</v>
      </c>
      <c r="C9" s="436" t="s">
        <v>500</v>
      </c>
      <c r="D9" s="437"/>
      <c r="E9" s="437"/>
      <c r="F9" s="437"/>
      <c r="G9" s="438"/>
    </row>
    <row r="10" spans="1:11" ht="18" customHeight="1" x14ac:dyDescent="0.2">
      <c r="B10" s="435" t="s">
        <v>2</v>
      </c>
      <c r="C10" s="445" t="s">
        <v>501</v>
      </c>
      <c r="D10" s="446"/>
      <c r="E10" s="446"/>
      <c r="F10" s="446"/>
      <c r="G10" s="447"/>
    </row>
    <row r="11" spans="1:11" ht="18" customHeight="1" x14ac:dyDescent="0.2">
      <c r="B11" s="435" t="s">
        <v>32</v>
      </c>
      <c r="C11" s="436" t="s">
        <v>502</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6492494</v>
      </c>
      <c r="I18" s="133">
        <v>0</v>
      </c>
      <c r="J18" s="118">
        <v>5487439</v>
      </c>
      <c r="K18" s="118">
        <f>(H18+I18)-J18</f>
        <v>1005055</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673</v>
      </c>
      <c r="G21" s="221">
        <v>3067</v>
      </c>
      <c r="H21" s="118">
        <v>73000</v>
      </c>
      <c r="I21" s="133">
        <v>3309</v>
      </c>
      <c r="J21" s="118">
        <v>8760</v>
      </c>
      <c r="K21" s="118">
        <f t="shared" ref="K21:K34" si="0">(H21+I21)-J21</f>
        <v>67549</v>
      </c>
    </row>
    <row r="22" spans="1:11" ht="18" customHeight="1" x14ac:dyDescent="0.2">
      <c r="A22" s="435" t="s">
        <v>76</v>
      </c>
      <c r="B22" s="259" t="s">
        <v>6</v>
      </c>
      <c r="F22" s="221">
        <v>154.5</v>
      </c>
      <c r="G22" s="221">
        <v>836</v>
      </c>
      <c r="H22" s="118">
        <v>4872</v>
      </c>
      <c r="I22" s="133">
        <v>4642</v>
      </c>
      <c r="J22" s="118"/>
      <c r="K22" s="118">
        <f t="shared" si="0"/>
        <v>9514</v>
      </c>
    </row>
    <row r="23" spans="1:11" ht="18" customHeight="1" x14ac:dyDescent="0.2">
      <c r="A23" s="435" t="s">
        <v>77</v>
      </c>
      <c r="B23" s="259" t="s">
        <v>43</v>
      </c>
      <c r="F23" s="221">
        <v>2420</v>
      </c>
      <c r="G23" s="221">
        <v>23336</v>
      </c>
      <c r="H23" s="118">
        <v>92519</v>
      </c>
      <c r="I23" s="133">
        <v>58926</v>
      </c>
      <c r="J23" s="118">
        <v>23020</v>
      </c>
      <c r="K23" s="118">
        <f t="shared" si="0"/>
        <v>128425</v>
      </c>
    </row>
    <row r="24" spans="1:11" ht="18" customHeight="1" x14ac:dyDescent="0.2">
      <c r="A24" s="435" t="s">
        <v>78</v>
      </c>
      <c r="B24" s="259" t="s">
        <v>44</v>
      </c>
      <c r="F24" s="221">
        <v>1929</v>
      </c>
      <c r="G24" s="221">
        <v>101</v>
      </c>
      <c r="H24" s="118">
        <v>203793</v>
      </c>
      <c r="I24" s="133">
        <v>155461</v>
      </c>
      <c r="J24" s="118">
        <v>99535</v>
      </c>
      <c r="K24" s="118">
        <f t="shared" si="0"/>
        <v>259719</v>
      </c>
    </row>
    <row r="25" spans="1:11" ht="18" customHeight="1" x14ac:dyDescent="0.2">
      <c r="A25" s="435" t="s">
        <v>79</v>
      </c>
      <c r="B25" s="259" t="s">
        <v>5</v>
      </c>
      <c r="F25" s="221">
        <v>2716.3</v>
      </c>
      <c r="G25" s="221">
        <v>32600</v>
      </c>
      <c r="H25" s="118">
        <v>120507</v>
      </c>
      <c r="I25" s="133">
        <v>89533</v>
      </c>
      <c r="J25" s="118">
        <v>320</v>
      </c>
      <c r="K25" s="118">
        <f t="shared" si="0"/>
        <v>209720</v>
      </c>
    </row>
    <row r="26" spans="1:11" ht="18" customHeight="1" x14ac:dyDescent="0.2">
      <c r="A26" s="435" t="s">
        <v>80</v>
      </c>
      <c r="B26" s="259" t="s">
        <v>45</v>
      </c>
      <c r="F26" s="221"/>
      <c r="G26" s="221"/>
      <c r="H26" s="118">
        <v>500</v>
      </c>
      <c r="I26" s="133">
        <v>0</v>
      </c>
      <c r="J26" s="118"/>
      <c r="K26" s="118">
        <f t="shared" si="0"/>
        <v>500</v>
      </c>
    </row>
    <row r="27" spans="1:11" ht="18" customHeight="1" x14ac:dyDescent="0.2">
      <c r="A27" s="435" t="s">
        <v>81</v>
      </c>
      <c r="B27" s="259" t="s">
        <v>536</v>
      </c>
      <c r="F27" s="221"/>
      <c r="G27" s="221"/>
      <c r="H27" s="118"/>
      <c r="I27" s="133">
        <f t="shared" ref="I27:I34" si="1">H27*F$114</f>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108200</v>
      </c>
      <c r="G29" s="221">
        <v>37738</v>
      </c>
      <c r="H29" s="118">
        <v>404255</v>
      </c>
      <c r="I29" s="133">
        <v>195306</v>
      </c>
      <c r="J29" s="118"/>
      <c r="K29" s="118">
        <f t="shared" si="0"/>
        <v>599561</v>
      </c>
    </row>
    <row r="30" spans="1:11" ht="18" customHeight="1" x14ac:dyDescent="0.2">
      <c r="A30" s="435" t="s">
        <v>84</v>
      </c>
      <c r="B30" s="456"/>
      <c r="C30" s="457"/>
      <c r="D30" s="458"/>
      <c r="F30" s="221"/>
      <c r="G30" s="221"/>
      <c r="H30" s="118"/>
      <c r="I30" s="133">
        <f t="shared" si="1"/>
        <v>0</v>
      </c>
      <c r="J30" s="118"/>
      <c r="K30" s="118">
        <f t="shared" si="0"/>
        <v>0</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116092.8</v>
      </c>
      <c r="G36" s="221">
        <f t="shared" si="2"/>
        <v>97678</v>
      </c>
      <c r="H36" s="221">
        <f t="shared" si="2"/>
        <v>899446</v>
      </c>
      <c r="I36" s="118">
        <f t="shared" si="2"/>
        <v>507177</v>
      </c>
      <c r="J36" s="118">
        <f t="shared" si="2"/>
        <v>131635</v>
      </c>
      <c r="K36" s="118">
        <f t="shared" si="2"/>
        <v>1274988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73260</v>
      </c>
      <c r="G40" s="221"/>
      <c r="H40" s="118">
        <v>4458140</v>
      </c>
      <c r="I40" s="133">
        <v>3423852</v>
      </c>
      <c r="J40" s="118"/>
      <c r="K40" s="118">
        <f t="shared" ref="K40:K47" si="3">(H40+I40)-J40</f>
        <v>7881992</v>
      </c>
    </row>
    <row r="41" spans="1:11" ht="18" customHeight="1" x14ac:dyDescent="0.2">
      <c r="A41" s="435" t="s">
        <v>88</v>
      </c>
      <c r="B41" s="465" t="s">
        <v>50</v>
      </c>
      <c r="C41" s="466"/>
      <c r="F41" s="221">
        <v>1235</v>
      </c>
      <c r="G41" s="221">
        <v>546</v>
      </c>
      <c r="H41" s="118">
        <v>73139</v>
      </c>
      <c r="I41" s="133">
        <v>56170</v>
      </c>
      <c r="J41" s="118"/>
      <c r="K41" s="118">
        <f t="shared" si="3"/>
        <v>129309</v>
      </c>
    </row>
    <row r="42" spans="1:11" ht="18" customHeight="1" x14ac:dyDescent="0.2">
      <c r="A42" s="435" t="s">
        <v>89</v>
      </c>
      <c r="B42" s="419" t="s">
        <v>11</v>
      </c>
      <c r="F42" s="221"/>
      <c r="G42" s="221"/>
      <c r="H42" s="118"/>
      <c r="I42" s="133">
        <v>0</v>
      </c>
      <c r="J42" s="118"/>
      <c r="K42" s="118">
        <f t="shared" si="3"/>
        <v>0</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74495</v>
      </c>
      <c r="G49" s="409">
        <f t="shared" si="4"/>
        <v>546</v>
      </c>
      <c r="H49" s="118">
        <f t="shared" si="4"/>
        <v>4531279</v>
      </c>
      <c r="I49" s="118">
        <f t="shared" si="4"/>
        <v>3480022</v>
      </c>
      <c r="J49" s="118">
        <f t="shared" si="4"/>
        <v>0</v>
      </c>
      <c r="K49" s="118">
        <f t="shared" si="4"/>
        <v>8011301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460</v>
      </c>
      <c r="C53" s="411"/>
      <c r="D53" s="412"/>
      <c r="F53" s="221"/>
      <c r="G53" s="221"/>
      <c r="H53" s="118">
        <v>4277607</v>
      </c>
      <c r="I53" s="133">
        <v>0</v>
      </c>
      <c r="J53" s="118">
        <v>1980640</v>
      </c>
      <c r="K53" s="118">
        <f t="shared" ref="K53:K62" si="5">(H53+I53)-J53</f>
        <v>2296967</v>
      </c>
    </row>
    <row r="54" spans="1:11" ht="18" customHeight="1" x14ac:dyDescent="0.2">
      <c r="A54" s="435" t="s">
        <v>93</v>
      </c>
      <c r="B54" s="420"/>
      <c r="C54" s="414"/>
      <c r="D54" s="415"/>
      <c r="F54" s="221"/>
      <c r="G54" s="221"/>
      <c r="H54" s="118"/>
      <c r="I54" s="133">
        <v>0</v>
      </c>
      <c r="J54" s="118"/>
      <c r="K54" s="118">
        <f t="shared" si="5"/>
        <v>0</v>
      </c>
    </row>
    <row r="55" spans="1:11" ht="18" customHeight="1" x14ac:dyDescent="0.2">
      <c r="A55" s="435" t="s">
        <v>94</v>
      </c>
      <c r="B55" s="418"/>
      <c r="C55" s="417"/>
      <c r="D55" s="412"/>
      <c r="F55" s="221"/>
      <c r="G55" s="221"/>
      <c r="H55" s="118"/>
      <c r="I55" s="133">
        <v>0</v>
      </c>
      <c r="J55" s="118"/>
      <c r="K55" s="118">
        <f t="shared" si="5"/>
        <v>0</v>
      </c>
    </row>
    <row r="56" spans="1:11" ht="18" customHeight="1" x14ac:dyDescent="0.2">
      <c r="A56" s="435" t="s">
        <v>95</v>
      </c>
      <c r="B56" s="418"/>
      <c r="C56" s="417"/>
      <c r="D56" s="412"/>
      <c r="F56" s="221"/>
      <c r="G56" s="221"/>
      <c r="H56" s="118"/>
      <c r="I56" s="133">
        <v>0</v>
      </c>
      <c r="J56" s="118"/>
      <c r="K56" s="118">
        <f t="shared" si="5"/>
        <v>0</v>
      </c>
    </row>
    <row r="57" spans="1:11" ht="18" customHeight="1" x14ac:dyDescent="0.2">
      <c r="A57" s="435" t="s">
        <v>96</v>
      </c>
      <c r="B57" s="418"/>
      <c r="C57" s="417"/>
      <c r="D57" s="412"/>
      <c r="F57" s="221"/>
      <c r="G57" s="221"/>
      <c r="H57" s="118"/>
      <c r="I57" s="133">
        <v>0</v>
      </c>
      <c r="J57" s="118"/>
      <c r="K57" s="118">
        <f t="shared" si="5"/>
        <v>0</v>
      </c>
    </row>
    <row r="58" spans="1:11" ht="18" customHeight="1" x14ac:dyDescent="0.2">
      <c r="A58" s="435" t="s">
        <v>97</v>
      </c>
      <c r="B58" s="420" t="s">
        <v>334</v>
      </c>
      <c r="C58" s="414"/>
      <c r="D58" s="415"/>
      <c r="F58" s="221"/>
      <c r="G58" s="221"/>
      <c r="H58" s="118">
        <v>70600</v>
      </c>
      <c r="I58" s="133">
        <v>2443</v>
      </c>
      <c r="J58" s="118"/>
      <c r="K58" s="118">
        <f t="shared" si="5"/>
        <v>73043</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4348207</v>
      </c>
      <c r="I64" s="118">
        <f t="shared" si="6"/>
        <v>2443</v>
      </c>
      <c r="J64" s="118">
        <f t="shared" si="6"/>
        <v>1980640</v>
      </c>
      <c r="K64" s="118">
        <f t="shared" si="6"/>
        <v>2370010</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39418</v>
      </c>
      <c r="I77" s="133">
        <v>0</v>
      </c>
      <c r="J77" s="118"/>
      <c r="K77" s="118">
        <f>(H77+I77)-J77</f>
        <v>39418</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v>1480</v>
      </c>
      <c r="I79" s="133">
        <v>0</v>
      </c>
      <c r="J79" s="118"/>
      <c r="K79" s="118">
        <f>(H79+I79)-J79</f>
        <v>1480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40898</v>
      </c>
      <c r="I82" s="118">
        <f t="shared" si="8"/>
        <v>0</v>
      </c>
      <c r="J82" s="118">
        <f t="shared" si="8"/>
        <v>0</v>
      </c>
      <c r="K82" s="118">
        <f t="shared" si="8"/>
        <v>40898</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9">H86*F$114</f>
        <v>0</v>
      </c>
      <c r="J86" s="118"/>
      <c r="K86" s="118">
        <f t="shared" ref="K86:K96" si="10">(H86+I86)-J86</f>
        <v>0</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33970</v>
      </c>
      <c r="G88" s="221"/>
      <c r="H88" s="118">
        <v>729194</v>
      </c>
      <c r="I88" s="133">
        <v>246979</v>
      </c>
      <c r="J88" s="118">
        <v>590098</v>
      </c>
      <c r="K88" s="118">
        <f t="shared" si="10"/>
        <v>386075</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c r="G91" s="221"/>
      <c r="H91" s="118"/>
      <c r="I91" s="133">
        <f t="shared" si="9"/>
        <v>0</v>
      </c>
      <c r="J91" s="118"/>
      <c r="K91" s="118">
        <f t="shared" si="10"/>
        <v>0</v>
      </c>
    </row>
    <row r="92" spans="1:11" ht="18" customHeight="1" x14ac:dyDescent="0.2">
      <c r="A92" s="435" t="s">
        <v>120</v>
      </c>
      <c r="B92" s="419" t="s">
        <v>121</v>
      </c>
      <c r="F92" s="257"/>
      <c r="G92" s="257"/>
      <c r="H92" s="429">
        <v>26386</v>
      </c>
      <c r="I92" s="133">
        <v>0</v>
      </c>
      <c r="J92" s="429"/>
      <c r="K92" s="118">
        <f t="shared" si="10"/>
        <v>26386</v>
      </c>
    </row>
    <row r="93" spans="1:11" ht="18" customHeight="1" x14ac:dyDescent="0.2">
      <c r="A93" s="435" t="s">
        <v>122</v>
      </c>
      <c r="B93" s="419" t="s">
        <v>123</v>
      </c>
      <c r="F93" s="221">
        <v>458</v>
      </c>
      <c r="G93" s="221"/>
      <c r="H93" s="118">
        <v>30675</v>
      </c>
      <c r="I93" s="133">
        <v>20867</v>
      </c>
      <c r="J93" s="118"/>
      <c r="K93" s="118">
        <f t="shared" si="10"/>
        <v>51542</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34428</v>
      </c>
      <c r="G98" s="221">
        <f t="shared" si="11"/>
        <v>0</v>
      </c>
      <c r="H98" s="221">
        <f t="shared" si="11"/>
        <v>786255</v>
      </c>
      <c r="I98" s="221">
        <f t="shared" si="11"/>
        <v>267846</v>
      </c>
      <c r="J98" s="221">
        <f t="shared" si="11"/>
        <v>590098</v>
      </c>
      <c r="K98" s="221">
        <f t="shared" si="11"/>
        <v>464003</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1594</v>
      </c>
      <c r="G102" s="221"/>
      <c r="H102" s="118">
        <v>168555</v>
      </c>
      <c r="I102" s="133">
        <v>71475</v>
      </c>
      <c r="J102" s="118"/>
      <c r="K102" s="118">
        <f>(H102+I102)-J102</f>
        <v>240030</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1594</v>
      </c>
      <c r="G108" s="221">
        <f t="shared" si="12"/>
        <v>0</v>
      </c>
      <c r="H108" s="118">
        <f t="shared" si="12"/>
        <v>168555</v>
      </c>
      <c r="I108" s="118">
        <f t="shared" si="12"/>
        <v>71475</v>
      </c>
      <c r="J108" s="118">
        <f t="shared" si="12"/>
        <v>0</v>
      </c>
      <c r="K108" s="118">
        <f t="shared" si="12"/>
        <v>240030</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4954140.5999999987</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0.76749999999999996</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260064831.92999998</v>
      </c>
    </row>
    <row r="118" spans="1:6" ht="18" customHeight="1" x14ac:dyDescent="0.2">
      <c r="A118" s="435" t="s">
        <v>173</v>
      </c>
      <c r="B118" s="259" t="s">
        <v>18</v>
      </c>
      <c r="F118" s="118">
        <v>13963413.860000009</v>
      </c>
    </row>
    <row r="119" spans="1:6" ht="18" customHeight="1" x14ac:dyDescent="0.2">
      <c r="A119" s="435" t="s">
        <v>174</v>
      </c>
      <c r="B119" s="421" t="s">
        <v>19</v>
      </c>
      <c r="F119" s="118">
        <f>SUM(F117:F118)</f>
        <v>274028245.78999996</v>
      </c>
    </row>
    <row r="120" spans="1:6" ht="18" customHeight="1" x14ac:dyDescent="0.2">
      <c r="A120" s="435"/>
      <c r="B120" s="421"/>
    </row>
    <row r="121" spans="1:6" ht="18" customHeight="1" x14ac:dyDescent="0.2">
      <c r="A121" s="435" t="s">
        <v>167</v>
      </c>
      <c r="B121" s="421" t="s">
        <v>36</v>
      </c>
      <c r="F121" s="118">
        <v>259072975.72990733</v>
      </c>
    </row>
    <row r="122" spans="1:6" ht="18" customHeight="1" x14ac:dyDescent="0.2">
      <c r="A122" s="435"/>
    </row>
    <row r="123" spans="1:6" ht="18" customHeight="1" x14ac:dyDescent="0.2">
      <c r="A123" s="435" t="s">
        <v>175</v>
      </c>
      <c r="B123" s="421" t="s">
        <v>20</v>
      </c>
      <c r="F123" s="118">
        <f>+F119-F121</f>
        <v>14955270.060092628</v>
      </c>
    </row>
    <row r="124" spans="1:6" ht="18" customHeight="1" x14ac:dyDescent="0.2">
      <c r="A124" s="435"/>
    </row>
    <row r="125" spans="1:6" ht="18" customHeight="1" x14ac:dyDescent="0.2">
      <c r="A125" s="435" t="s">
        <v>176</v>
      </c>
      <c r="B125" s="421" t="s">
        <v>21</v>
      </c>
      <c r="F125" s="118">
        <v>2594407.5100000002</v>
      </c>
    </row>
    <row r="126" spans="1:6" ht="18" customHeight="1" x14ac:dyDescent="0.2">
      <c r="A126" s="435"/>
    </row>
    <row r="127" spans="1:6" ht="18" customHeight="1" x14ac:dyDescent="0.2">
      <c r="A127" s="435" t="s">
        <v>177</v>
      </c>
      <c r="B127" s="421" t="s">
        <v>22</v>
      </c>
      <c r="F127" s="118">
        <f>+F123+F125</f>
        <v>17549677.57009263</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116092.8</v>
      </c>
      <c r="G141" s="422">
        <f t="shared" si="14"/>
        <v>97678</v>
      </c>
      <c r="H141" s="422">
        <f t="shared" si="14"/>
        <v>899446</v>
      </c>
      <c r="I141" s="422">
        <f t="shared" si="14"/>
        <v>507177</v>
      </c>
      <c r="J141" s="422">
        <f t="shared" si="14"/>
        <v>131635</v>
      </c>
      <c r="K141" s="422">
        <f t="shared" si="14"/>
        <v>1274988</v>
      </c>
    </row>
    <row r="142" spans="1:11" ht="18" customHeight="1" x14ac:dyDescent="0.2">
      <c r="A142" s="435" t="s">
        <v>142</v>
      </c>
      <c r="B142" s="421" t="s">
        <v>65</v>
      </c>
      <c r="F142" s="422">
        <f t="shared" ref="F142:K142" si="15">F49</f>
        <v>74495</v>
      </c>
      <c r="G142" s="422">
        <f t="shared" si="15"/>
        <v>546</v>
      </c>
      <c r="H142" s="422">
        <f t="shared" si="15"/>
        <v>4531279</v>
      </c>
      <c r="I142" s="422">
        <f t="shared" si="15"/>
        <v>3480022</v>
      </c>
      <c r="J142" s="422">
        <f t="shared" si="15"/>
        <v>0</v>
      </c>
      <c r="K142" s="422">
        <f t="shared" si="15"/>
        <v>8011301</v>
      </c>
    </row>
    <row r="143" spans="1:11" ht="18" customHeight="1" x14ac:dyDescent="0.2">
      <c r="A143" s="435" t="s">
        <v>144</v>
      </c>
      <c r="B143" s="421" t="s">
        <v>66</v>
      </c>
      <c r="F143" s="422">
        <f t="shared" ref="F143:K143" si="16">F64</f>
        <v>0</v>
      </c>
      <c r="G143" s="422">
        <f t="shared" si="16"/>
        <v>0</v>
      </c>
      <c r="H143" s="422">
        <f t="shared" si="16"/>
        <v>4348207</v>
      </c>
      <c r="I143" s="422">
        <f t="shared" si="16"/>
        <v>2443</v>
      </c>
      <c r="J143" s="422">
        <f t="shared" si="16"/>
        <v>1980640</v>
      </c>
      <c r="K143" s="422">
        <f t="shared" si="16"/>
        <v>2370010</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0</v>
      </c>
      <c r="G145" s="422">
        <f t="shared" si="18"/>
        <v>0</v>
      </c>
      <c r="H145" s="422">
        <f t="shared" si="18"/>
        <v>40898</v>
      </c>
      <c r="I145" s="422">
        <f t="shared" si="18"/>
        <v>0</v>
      </c>
      <c r="J145" s="422">
        <f t="shared" si="18"/>
        <v>0</v>
      </c>
      <c r="K145" s="422">
        <f t="shared" si="18"/>
        <v>40898</v>
      </c>
    </row>
    <row r="146" spans="1:11" ht="18" customHeight="1" x14ac:dyDescent="0.2">
      <c r="A146" s="435" t="s">
        <v>150</v>
      </c>
      <c r="B146" s="421" t="s">
        <v>69</v>
      </c>
      <c r="F146" s="422">
        <f t="shared" ref="F146:K146" si="19">F98</f>
        <v>34428</v>
      </c>
      <c r="G146" s="422">
        <f t="shared" si="19"/>
        <v>0</v>
      </c>
      <c r="H146" s="422">
        <f t="shared" si="19"/>
        <v>786255</v>
      </c>
      <c r="I146" s="422">
        <f t="shared" si="19"/>
        <v>267846</v>
      </c>
      <c r="J146" s="422">
        <f t="shared" si="19"/>
        <v>590098</v>
      </c>
      <c r="K146" s="422">
        <f t="shared" si="19"/>
        <v>464003</v>
      </c>
    </row>
    <row r="147" spans="1:11" ht="18" customHeight="1" x14ac:dyDescent="0.2">
      <c r="A147" s="435" t="s">
        <v>153</v>
      </c>
      <c r="B147" s="421" t="s">
        <v>61</v>
      </c>
      <c r="F147" s="221">
        <f t="shared" ref="F147:K147" si="20">F108</f>
        <v>1594</v>
      </c>
      <c r="G147" s="221">
        <f t="shared" si="20"/>
        <v>0</v>
      </c>
      <c r="H147" s="221">
        <f t="shared" si="20"/>
        <v>168555</v>
      </c>
      <c r="I147" s="221">
        <f t="shared" si="20"/>
        <v>71475</v>
      </c>
      <c r="J147" s="221">
        <f t="shared" si="20"/>
        <v>0</v>
      </c>
      <c r="K147" s="221">
        <f t="shared" si="20"/>
        <v>240030</v>
      </c>
    </row>
    <row r="148" spans="1:11" ht="18" customHeight="1" x14ac:dyDescent="0.2">
      <c r="A148" s="435" t="s">
        <v>155</v>
      </c>
      <c r="B148" s="421" t="s">
        <v>70</v>
      </c>
      <c r="F148" s="485" t="s">
        <v>73</v>
      </c>
      <c r="G148" s="485" t="s">
        <v>73</v>
      </c>
      <c r="H148" s="486" t="s">
        <v>73</v>
      </c>
      <c r="I148" s="486" t="s">
        <v>73</v>
      </c>
      <c r="J148" s="486" t="s">
        <v>73</v>
      </c>
      <c r="K148" s="423">
        <f>F111</f>
        <v>4954140.5999999987</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6492494</v>
      </c>
      <c r="I150" s="221">
        <f>I18</f>
        <v>0</v>
      </c>
      <c r="J150" s="221">
        <f>J18</f>
        <v>5487439</v>
      </c>
      <c r="K150" s="221">
        <f>K18</f>
        <v>1005055</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226609.8</v>
      </c>
      <c r="G152" s="487">
        <f t="shared" si="22"/>
        <v>98224</v>
      </c>
      <c r="H152" s="487">
        <f t="shared" si="22"/>
        <v>17267134</v>
      </c>
      <c r="I152" s="487">
        <f t="shared" si="22"/>
        <v>4328963</v>
      </c>
      <c r="J152" s="487">
        <f t="shared" si="22"/>
        <v>8189812</v>
      </c>
      <c r="K152" s="487">
        <f t="shared" si="22"/>
        <v>18360425.599999998</v>
      </c>
    </row>
    <row r="154" spans="1:11" ht="18" customHeight="1" x14ac:dyDescent="0.2">
      <c r="A154" s="455" t="s">
        <v>168</v>
      </c>
      <c r="B154" s="421" t="s">
        <v>28</v>
      </c>
      <c r="F154" s="140">
        <f>K152/F121</f>
        <v>7.0869705913060521E-2</v>
      </c>
    </row>
    <row r="155" spans="1:11" ht="18" customHeight="1" x14ac:dyDescent="0.2">
      <c r="A155" s="455" t="s">
        <v>169</v>
      </c>
      <c r="B155" s="421" t="s">
        <v>72</v>
      </c>
      <c r="F155" s="140">
        <f>K152/F127</f>
        <v>1.0461973176811525</v>
      </c>
      <c r="G155" s="421"/>
    </row>
    <row r="156" spans="1:11" ht="18" customHeight="1" x14ac:dyDescent="0.2">
      <c r="G156" s="421"/>
    </row>
  </sheetData>
  <sheetProtection algorithmName="SHA-512" hashValue="zSIiMotbv7cAa4gLvo5i+ff4AebQSLsiztC3dv6cpE70bbBBFozqYCmCT1FZeBZXvIa081NCWZwjIgmzrVhkow==" saltValue="qDJqrU1U7z77s3shtYX0lA==" spinCount="100000" sheet="1" objects="1" scenarios="1"/>
  <mergeCells count="34">
    <mergeCell ref="B44:D44"/>
    <mergeCell ref="D2:H2"/>
    <mergeCell ref="B34:D34"/>
    <mergeCell ref="C11:G11"/>
    <mergeCell ref="B41:C41"/>
    <mergeCell ref="B13:H13"/>
    <mergeCell ref="C5:G5"/>
    <mergeCell ref="C6:G6"/>
    <mergeCell ref="C7:G7"/>
    <mergeCell ref="C9:G9"/>
    <mergeCell ref="C10:G10"/>
    <mergeCell ref="B30:D30"/>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B45:D45"/>
    <mergeCell ref="B46:D46"/>
    <mergeCell ref="B47:D47"/>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K156"/>
  <sheetViews>
    <sheetView showGridLines="0" zoomScaleNormal="100"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473</v>
      </c>
      <c r="D5" s="437"/>
      <c r="E5" s="437"/>
      <c r="F5" s="437"/>
      <c r="G5" s="438"/>
    </row>
    <row r="6" spans="1:11" ht="18" customHeight="1" x14ac:dyDescent="0.2">
      <c r="B6" s="435" t="s">
        <v>3</v>
      </c>
      <c r="C6" s="439">
        <v>210057</v>
      </c>
      <c r="D6" s="440"/>
      <c r="E6" s="440"/>
      <c r="F6" s="440"/>
      <c r="G6" s="441"/>
    </row>
    <row r="7" spans="1:11" ht="18" customHeight="1" x14ac:dyDescent="0.2">
      <c r="B7" s="435" t="s">
        <v>4</v>
      </c>
      <c r="C7" s="492">
        <v>1994</v>
      </c>
      <c r="D7" s="493"/>
      <c r="E7" s="493"/>
      <c r="F7" s="493"/>
      <c r="G7" s="494"/>
    </row>
    <row r="9" spans="1:11" ht="18" customHeight="1" x14ac:dyDescent="0.2">
      <c r="B9" s="435" t="s">
        <v>1</v>
      </c>
      <c r="C9" s="436" t="s">
        <v>613</v>
      </c>
      <c r="D9" s="437"/>
      <c r="E9" s="437"/>
      <c r="F9" s="437"/>
      <c r="G9" s="438"/>
    </row>
    <row r="10" spans="1:11" ht="18" customHeight="1" x14ac:dyDescent="0.2">
      <c r="B10" s="435" t="s">
        <v>2</v>
      </c>
      <c r="C10" s="445" t="s">
        <v>614</v>
      </c>
      <c r="D10" s="446"/>
      <c r="E10" s="446"/>
      <c r="F10" s="446"/>
      <c r="G10" s="447"/>
    </row>
    <row r="11" spans="1:11" ht="18" customHeight="1" x14ac:dyDescent="0.2">
      <c r="B11" s="435" t="s">
        <v>32</v>
      </c>
      <c r="C11" s="495" t="s">
        <v>615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v>8837085.6699999999</v>
      </c>
      <c r="I18" s="133">
        <v>0</v>
      </c>
      <c r="J18" s="118">
        <v>7469081.2199999997</v>
      </c>
      <c r="K18" s="118">
        <f>(H18+I18)-J18</f>
        <v>1368004.4500000002</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f>'[10]CB Master List - FY18 &amp; CY17'!$G$40</f>
        <v>5096.7879144349308</v>
      </c>
      <c r="G21" s="221">
        <f>'[10]CB Master List - FY18 &amp; CY17'!$H$40</f>
        <v>4678.4800793518734</v>
      </c>
      <c r="H21" s="118">
        <f>'[10]CB Master List - FY18 &amp; CY17'!$I$40</f>
        <v>222296.63922300364</v>
      </c>
      <c r="I21" s="133">
        <f t="shared" ref="I21:I34" si="0">H21*F$114</f>
        <v>155970.37154099016</v>
      </c>
      <c r="J21" s="118">
        <f>'[10]CB Master List - FY18 &amp; CY17'!$K$40</f>
        <v>10894.661000000002</v>
      </c>
      <c r="K21" s="118">
        <f t="shared" ref="K21:K34" si="1">(H21+I21)-J21</f>
        <v>367372.34976399381</v>
      </c>
    </row>
    <row r="22" spans="1:11" ht="18" customHeight="1" x14ac:dyDescent="0.2">
      <c r="A22" s="435" t="s">
        <v>76</v>
      </c>
      <c r="B22" s="259" t="s">
        <v>6</v>
      </c>
      <c r="F22" s="221">
        <f>'[10]CB Master List - FY18 &amp; CY17'!$G$59</f>
        <v>1525.4850000000001</v>
      </c>
      <c r="G22" s="221"/>
      <c r="H22" s="118">
        <f>'[10]CB Master List - FY18 &amp; CY17'!$I$59</f>
        <v>119841.2677925</v>
      </c>
      <c r="I22" s="133">
        <f t="shared" si="0"/>
        <v>84084.4338847084</v>
      </c>
      <c r="J22" s="118">
        <f>'[10]CB Master List - FY18 &amp; CY17'!$K$59</f>
        <v>30776.171149999998</v>
      </c>
      <c r="K22" s="118">
        <f t="shared" si="1"/>
        <v>173149.53052720841</v>
      </c>
    </row>
    <row r="23" spans="1:11" ht="18" customHeight="1" x14ac:dyDescent="0.2">
      <c r="A23" s="435" t="s">
        <v>77</v>
      </c>
      <c r="B23" s="259" t="s">
        <v>43</v>
      </c>
      <c r="F23" s="221">
        <f>'[10]CB Master List - FY18 &amp; CY17'!$G$64</f>
        <v>537.6</v>
      </c>
      <c r="G23" s="221"/>
      <c r="H23" s="118">
        <f>'[10]CB Master List - FY18 &amp; CY17'!$I$64</f>
        <v>22449.301449999999</v>
      </c>
      <c r="I23" s="133">
        <f t="shared" si="0"/>
        <v>15751.141808669574</v>
      </c>
      <c r="J23" s="118">
        <f>'[10]CB Master List - FY18 &amp; CY17'!$K$64</f>
        <v>1616.6630000000002</v>
      </c>
      <c r="K23" s="118">
        <f t="shared" si="1"/>
        <v>36583.780258669576</v>
      </c>
    </row>
    <row r="24" spans="1:11" ht="18" customHeight="1" x14ac:dyDescent="0.2">
      <c r="A24" s="435" t="s">
        <v>78</v>
      </c>
      <c r="B24" s="259" t="s">
        <v>44</v>
      </c>
      <c r="F24" s="221">
        <f>'[10]CB Master List - FY18 &amp; CY17'!$G$76</f>
        <v>7868.57</v>
      </c>
      <c r="G24" s="221">
        <f>'[10]CB Master List - FY18 &amp; CY17'!$H$76</f>
        <v>2741</v>
      </c>
      <c r="H24" s="118">
        <f>'[10]CB Master List - FY18 &amp; CY17'!$I$76</f>
        <v>614877.72</v>
      </c>
      <c r="I24" s="133">
        <f t="shared" si="0"/>
        <v>431417.70732966054</v>
      </c>
      <c r="J24" s="118"/>
      <c r="K24" s="118">
        <f t="shared" si="1"/>
        <v>1046295.4273296605</v>
      </c>
    </row>
    <row r="25" spans="1:11" ht="18" customHeight="1" x14ac:dyDescent="0.2">
      <c r="A25" s="435" t="s">
        <v>79</v>
      </c>
      <c r="B25" s="259" t="s">
        <v>5</v>
      </c>
      <c r="F25" s="221">
        <f>'[10]CB Master List - FY18 &amp; CY17'!$G$93</f>
        <v>2450.87</v>
      </c>
      <c r="G25" s="221"/>
      <c r="H25" s="118">
        <f>'[10]CB Master List - FY18 &amp; CY17'!$I$93</f>
        <v>76509.832729999995</v>
      </c>
      <c r="I25" s="133">
        <f t="shared" si="0"/>
        <v>53681.724920123015</v>
      </c>
      <c r="J25" s="118">
        <f>'[10]CB Master List - FY18 &amp; CY17'!$K$93</f>
        <v>5733.8750000000009</v>
      </c>
      <c r="K25" s="118">
        <f t="shared" si="1"/>
        <v>124457.68265012301</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c r="G27" s="221"/>
      <c r="H27" s="118"/>
      <c r="I27" s="133">
        <f t="shared" si="0"/>
        <v>0</v>
      </c>
      <c r="J27" s="118"/>
      <c r="K27" s="118">
        <f t="shared" si="1"/>
        <v>0</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f>'[10]CB Master List - FY18 &amp; CY17'!$G$121</f>
        <v>1801.7697212209027</v>
      </c>
      <c r="G29" s="221">
        <f>'[10]CB Master List - FY18 &amp; CY17'!$H$121</f>
        <v>3337.476380353382</v>
      </c>
      <c r="H29" s="118">
        <f>'[10]CB Master List - FY18 &amp; CY17'!$I$121</f>
        <v>2333817.4775999994</v>
      </c>
      <c r="I29" s="133">
        <f>'[10]CB Master List - FY18 &amp; CY17'!$J$121</f>
        <v>1593949.6473740595</v>
      </c>
      <c r="J29" s="118">
        <f>'[10]CB Master List - FY18 &amp; CY17'!$K$121</f>
        <v>278.19</v>
      </c>
      <c r="K29" s="118">
        <f t="shared" si="1"/>
        <v>3927488.934974059</v>
      </c>
    </row>
    <row r="30" spans="1:11" ht="18" customHeight="1" x14ac:dyDescent="0.2">
      <c r="A30" s="435" t="s">
        <v>84</v>
      </c>
      <c r="B30" s="416" t="s">
        <v>193</v>
      </c>
      <c r="C30" s="635"/>
      <c r="D30" s="636"/>
      <c r="F30" s="221">
        <f>'[10]CB Master List - FY18 &amp; CY17'!$G$136</f>
        <v>134.4</v>
      </c>
      <c r="G30" s="221"/>
      <c r="H30" s="118">
        <f>'[10]CB Master List - FY18 &amp; CY17'!$I$136</f>
        <v>5612.3253624999998</v>
      </c>
      <c r="I30" s="133">
        <f t="shared" si="0"/>
        <v>3937.7854521673935</v>
      </c>
      <c r="J30" s="118">
        <f>'[10]CB Master List - FY18 &amp; CY17'!$K$136</f>
        <v>404.16575000000006</v>
      </c>
      <c r="K30" s="118">
        <f t="shared" si="1"/>
        <v>9145.945064667394</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19415.482635655833</v>
      </c>
      <c r="G36" s="221">
        <f t="shared" si="2"/>
        <v>10756.956459705256</v>
      </c>
      <c r="H36" s="221">
        <f t="shared" si="2"/>
        <v>3395404.5641580028</v>
      </c>
      <c r="I36" s="118">
        <f t="shared" si="2"/>
        <v>2338792.812310379</v>
      </c>
      <c r="J36" s="118">
        <f t="shared" si="2"/>
        <v>49703.725900000005</v>
      </c>
      <c r="K36" s="118">
        <f t="shared" si="2"/>
        <v>5684493.6505683819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f>'[10]CB Master List - FY18 &amp; CY17'!$G$156</f>
        <v>2745</v>
      </c>
      <c r="G40" s="221">
        <f>'[10]CB Master List - FY18 &amp; CY17'!$H$156</f>
        <v>984</v>
      </c>
      <c r="H40" s="118">
        <f>'[10]CB Master List - FY18 &amp; CY17'!$I$156</f>
        <v>246100.24</v>
      </c>
      <c r="I40" s="133">
        <v>0</v>
      </c>
      <c r="J40" s="118"/>
      <c r="K40" s="118">
        <f t="shared" ref="K40:K47" si="3">(H40+I40)-J40</f>
        <v>246100.24</v>
      </c>
    </row>
    <row r="41" spans="1:11" ht="18" customHeight="1" x14ac:dyDescent="0.2">
      <c r="A41" s="435" t="s">
        <v>88</v>
      </c>
      <c r="B41" s="465" t="s">
        <v>50</v>
      </c>
      <c r="C41" s="466"/>
      <c r="F41" s="221">
        <f>'[10]CB Master List - FY18 &amp; CY17'!$G$166</f>
        <v>10924</v>
      </c>
      <c r="G41" s="221">
        <f>'[10]CB Master List - FY18 &amp; CY17'!$H$166</f>
        <v>4900.7333333333336</v>
      </c>
      <c r="H41" s="118">
        <f>'[10]CB Master List - FY18 &amp; CY17'!$I$166</f>
        <v>460368</v>
      </c>
      <c r="I41" s="133">
        <v>0</v>
      </c>
      <c r="J41" s="118"/>
      <c r="K41" s="118">
        <f t="shared" si="3"/>
        <v>460368</v>
      </c>
    </row>
    <row r="42" spans="1:11" ht="18" customHeight="1" x14ac:dyDescent="0.2">
      <c r="A42" s="435" t="s">
        <v>89</v>
      </c>
      <c r="B42" s="419" t="s">
        <v>11</v>
      </c>
      <c r="F42" s="221">
        <f>'[10]CB Master List - FY18 &amp; CY17'!$G$192</f>
        <v>3101.9750000000004</v>
      </c>
      <c r="G42" s="221">
        <f>'[10]CB Master List - FY18 &amp; CY17'!$H$192</f>
        <v>1457.1875</v>
      </c>
      <c r="H42" s="118">
        <f>'[10]CB Master List - FY18 &amp; CY17'!$I$192</f>
        <v>142283.97415000002</v>
      </c>
      <c r="I42" s="133">
        <v>0</v>
      </c>
      <c r="J42" s="118">
        <f>'[10]CB Master List - FY18 &amp; CY17'!$K$192</f>
        <v>10882.376</v>
      </c>
      <c r="K42" s="118">
        <f t="shared" si="3"/>
        <v>131401.59815000003</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16" t="s">
        <v>522</v>
      </c>
      <c r="C44" s="635"/>
      <c r="D44" s="636"/>
      <c r="F44" s="407">
        <f>'[10]CB Master List - FY18 &amp; CY17'!$G$198</f>
        <v>1.4998844062971375</v>
      </c>
      <c r="G44" s="407">
        <f>'[10]CB Master List - FY18 &amp; CY17'!$H$198</f>
        <v>24.998073438285626</v>
      </c>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16772.474884406296</v>
      </c>
      <c r="G49" s="409">
        <f t="shared" si="4"/>
        <v>7366.9189067716188</v>
      </c>
      <c r="H49" s="118">
        <f t="shared" si="4"/>
        <v>848752.21415000001</v>
      </c>
      <c r="I49" s="118">
        <f t="shared" si="4"/>
        <v>0</v>
      </c>
      <c r="J49" s="118">
        <f t="shared" si="4"/>
        <v>10882.376</v>
      </c>
      <c r="K49" s="118">
        <f t="shared" si="4"/>
        <v>837869.83814999997</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10" t="s">
        <v>187</v>
      </c>
      <c r="C53" s="411"/>
      <c r="D53" s="412"/>
      <c r="F53" s="221"/>
      <c r="G53" s="221"/>
      <c r="H53" s="118"/>
      <c r="I53" s="133">
        <v>0</v>
      </c>
      <c r="J53" s="118"/>
      <c r="K53" s="118">
        <f t="shared" ref="K53:K62" si="5">(H53+I53)-J53</f>
        <v>0</v>
      </c>
    </row>
    <row r="54" spans="1:11" ht="18" customHeight="1" x14ac:dyDescent="0.2">
      <c r="A54" s="435" t="s">
        <v>93</v>
      </c>
      <c r="B54" s="420" t="s">
        <v>188</v>
      </c>
      <c r="C54" s="414"/>
      <c r="D54" s="415"/>
      <c r="F54" s="221">
        <f>'[10]CB Master List - FY18 &amp; CY17'!$G$223</f>
        <v>58616.513333333329</v>
      </c>
      <c r="G54" s="221">
        <f>'[10]CB Master List - FY18 &amp; CY17'!$H$223</f>
        <v>479</v>
      </c>
      <c r="H54" s="118">
        <f>'[10]CB Master List - FY18 &amp; CY17'!$I$223</f>
        <v>8693133.3383333329</v>
      </c>
      <c r="I54" s="133">
        <v>0</v>
      </c>
      <c r="J54" s="118">
        <f>'[10]CB Master List - FY18 &amp; CY17'!$K$223</f>
        <v>286342.55</v>
      </c>
      <c r="K54" s="118">
        <f t="shared" si="5"/>
        <v>8406790.7883333322</v>
      </c>
    </row>
    <row r="55" spans="1:11" ht="18" customHeight="1" x14ac:dyDescent="0.2">
      <c r="A55" s="435" t="s">
        <v>94</v>
      </c>
      <c r="B55" s="410" t="s">
        <v>189</v>
      </c>
      <c r="C55" s="411"/>
      <c r="D55" s="412"/>
      <c r="F55" s="221">
        <f>'[10]CB Master List - FY18 &amp; CY17'!$G$233</f>
        <v>66560</v>
      </c>
      <c r="G55" s="221"/>
      <c r="H55" s="118">
        <f>'[10]CB Master List - FY18 &amp; CY17'!$I$233</f>
        <v>1436074.3499999999</v>
      </c>
      <c r="I55" s="133">
        <v>0</v>
      </c>
      <c r="J55" s="118"/>
      <c r="K55" s="118">
        <f t="shared" si="5"/>
        <v>1436074.3499999999</v>
      </c>
    </row>
    <row r="56" spans="1:11" ht="18" customHeight="1" x14ac:dyDescent="0.2">
      <c r="A56" s="435" t="s">
        <v>95</v>
      </c>
      <c r="B56" s="410" t="s">
        <v>190</v>
      </c>
      <c r="C56" s="411"/>
      <c r="D56" s="412"/>
      <c r="F56" s="221"/>
      <c r="G56" s="221"/>
      <c r="H56" s="118"/>
      <c r="I56" s="133">
        <v>0</v>
      </c>
      <c r="J56" s="118"/>
      <c r="K56" s="118">
        <f t="shared" si="5"/>
        <v>0</v>
      </c>
    </row>
    <row r="57" spans="1:11" ht="18" customHeight="1" x14ac:dyDescent="0.2">
      <c r="A57" s="435" t="s">
        <v>96</v>
      </c>
      <c r="B57" s="410" t="s">
        <v>191</v>
      </c>
      <c r="C57" s="411"/>
      <c r="D57" s="412"/>
      <c r="F57" s="221"/>
      <c r="G57" s="221"/>
      <c r="H57" s="118">
        <f>'[10]CB Master List - FY18 &amp; CY17'!$I$247</f>
        <v>4252790.2767093098</v>
      </c>
      <c r="I57" s="133">
        <v>0</v>
      </c>
      <c r="J57" s="118"/>
      <c r="K57" s="118">
        <f t="shared" si="5"/>
        <v>4252790.2767093098</v>
      </c>
    </row>
    <row r="58" spans="1:11" ht="18" customHeight="1" x14ac:dyDescent="0.2">
      <c r="A58" s="435" t="s">
        <v>97</v>
      </c>
      <c r="B58" s="420"/>
      <c r="C58" s="414"/>
      <c r="D58" s="415"/>
      <c r="F58" s="221"/>
      <c r="G58" s="221"/>
      <c r="H58" s="118"/>
      <c r="I58" s="133">
        <v>0</v>
      </c>
      <c r="J58" s="118"/>
      <c r="K58" s="118">
        <f t="shared" si="5"/>
        <v>0</v>
      </c>
    </row>
    <row r="59" spans="1:11" ht="18" customHeight="1" x14ac:dyDescent="0.2">
      <c r="A59" s="435" t="s">
        <v>98</v>
      </c>
      <c r="B59" s="418"/>
      <c r="C59" s="417"/>
      <c r="D59" s="412"/>
      <c r="F59" s="221"/>
      <c r="G59" s="221"/>
      <c r="H59" s="118"/>
      <c r="I59" s="133">
        <v>0</v>
      </c>
      <c r="J59" s="118"/>
      <c r="K59" s="118">
        <f t="shared" si="5"/>
        <v>0</v>
      </c>
    </row>
    <row r="60" spans="1:11" ht="18" customHeight="1" x14ac:dyDescent="0.2">
      <c r="A60" s="435" t="s">
        <v>99</v>
      </c>
      <c r="B60" s="420"/>
      <c r="C60" s="414"/>
      <c r="D60" s="415"/>
      <c r="F60" s="221"/>
      <c r="G60" s="221"/>
      <c r="H60" s="118"/>
      <c r="I60" s="133">
        <v>0</v>
      </c>
      <c r="J60" s="118"/>
      <c r="K60" s="118">
        <f t="shared" si="5"/>
        <v>0</v>
      </c>
    </row>
    <row r="61" spans="1:11" ht="18" customHeight="1" x14ac:dyDescent="0.2">
      <c r="A61" s="435" t="s">
        <v>100</v>
      </c>
      <c r="B61" s="420"/>
      <c r="C61" s="414"/>
      <c r="D61" s="415"/>
      <c r="F61" s="221"/>
      <c r="G61" s="221"/>
      <c r="H61" s="118"/>
      <c r="I61" s="133">
        <v>0</v>
      </c>
      <c r="J61" s="118"/>
      <c r="K61" s="118">
        <f t="shared" si="5"/>
        <v>0</v>
      </c>
    </row>
    <row r="62" spans="1:11" ht="18" customHeight="1" x14ac:dyDescent="0.2">
      <c r="A62" s="435" t="s">
        <v>101</v>
      </c>
      <c r="B62" s="418"/>
      <c r="C62" s="417"/>
      <c r="D62" s="412"/>
      <c r="F62" s="221"/>
      <c r="G62" s="221"/>
      <c r="H62" s="118"/>
      <c r="I62" s="133">
        <v>0</v>
      </c>
      <c r="J62" s="118"/>
      <c r="K62" s="118">
        <f t="shared" si="5"/>
        <v>0</v>
      </c>
    </row>
    <row r="63" spans="1:11" ht="18" customHeight="1" x14ac:dyDescent="0.2">
      <c r="A63" s="435"/>
      <c r="I63" s="129"/>
    </row>
    <row r="64" spans="1:11" ht="18" customHeight="1" x14ac:dyDescent="0.2">
      <c r="A64" s="435" t="s">
        <v>144</v>
      </c>
      <c r="B64" s="421" t="s">
        <v>145</v>
      </c>
      <c r="E64" s="421" t="s">
        <v>7</v>
      </c>
      <c r="F64" s="221">
        <f t="shared" ref="F64:K64" si="6">SUM(F53:F62)</f>
        <v>125176.51333333334</v>
      </c>
      <c r="G64" s="221">
        <f t="shared" si="6"/>
        <v>479</v>
      </c>
      <c r="H64" s="118">
        <f t="shared" si="6"/>
        <v>14381997.965042643</v>
      </c>
      <c r="I64" s="118">
        <f t="shared" si="6"/>
        <v>0</v>
      </c>
      <c r="J64" s="118">
        <f t="shared" si="6"/>
        <v>286342.55</v>
      </c>
      <c r="K64" s="118">
        <f t="shared" si="6"/>
        <v>14095655.415042643</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f>'[10]CB Master List - FY18 &amp; CY17'!$G$265</f>
        <v>15095.68</v>
      </c>
      <c r="G68" s="122"/>
      <c r="H68" s="122">
        <f>'[10]CB Master List - FY18 &amp; CY17'!$I$265</f>
        <v>943461.65</v>
      </c>
      <c r="I68" s="133">
        <v>0</v>
      </c>
      <c r="J68" s="122">
        <f>'[10]CB Master List - FY18 &amp; CY17'!$K$265</f>
        <v>80730.52</v>
      </c>
      <c r="K68" s="118">
        <f>(H68+I68)-J68</f>
        <v>862731.13</v>
      </c>
    </row>
    <row r="69" spans="1:11" ht="18" customHeight="1" x14ac:dyDescent="0.2">
      <c r="A69" s="435" t="s">
        <v>104</v>
      </c>
      <c r="B69" s="419" t="s">
        <v>53</v>
      </c>
      <c r="F69" s="122"/>
      <c r="G69" s="122"/>
      <c r="H69" s="122">
        <f>'[10]CB Master List - FY18 &amp; CY17'!$I$274</f>
        <v>31918.860000000008</v>
      </c>
      <c r="I69" s="133">
        <v>0</v>
      </c>
      <c r="J69" s="122"/>
      <c r="K69" s="118">
        <f>(H69+I69)-J69</f>
        <v>31918.860000000008</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15095.68</v>
      </c>
      <c r="G74" s="122">
        <f t="shared" si="7"/>
        <v>0</v>
      </c>
      <c r="H74" s="122">
        <f t="shared" si="7"/>
        <v>975380.51</v>
      </c>
      <c r="I74" s="133">
        <f t="shared" si="7"/>
        <v>0</v>
      </c>
      <c r="J74" s="122">
        <f t="shared" si="7"/>
        <v>80730.52</v>
      </c>
      <c r="K74" s="118">
        <f t="shared" si="7"/>
        <v>894649.99</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f>'[10]CB Master List - FY18 &amp; CY17'!$G$296</f>
        <v>127.9901360040224</v>
      </c>
      <c r="G77" s="221"/>
      <c r="H77" s="118">
        <f>'[10]CB Master List - FY18 &amp; CY17'!$I$296</f>
        <v>510242.33999999997</v>
      </c>
      <c r="I77" s="133">
        <v>0</v>
      </c>
      <c r="J77" s="118"/>
      <c r="K77" s="118">
        <f>(H77+I77)-J77</f>
        <v>510242.33999999997</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f>'[10]CB Master List - FY18 &amp; CY17'!$G$311</f>
        <v>77.746589985765553</v>
      </c>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237">
        <f t="shared" ref="F82:K82" si="8">SUM(F77:F80)</f>
        <v>205.73672598978794</v>
      </c>
      <c r="G82" s="122">
        <f t="shared" si="8"/>
        <v>0</v>
      </c>
      <c r="H82" s="118">
        <f t="shared" si="8"/>
        <v>510242.33999999997</v>
      </c>
      <c r="I82" s="118">
        <f t="shared" si="8"/>
        <v>0</v>
      </c>
      <c r="J82" s="118">
        <f t="shared" si="8"/>
        <v>0</v>
      </c>
      <c r="K82" s="118">
        <f t="shared" si="8"/>
        <v>510242.33999999997</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f>'[10]CB Master List - FY18 &amp; CY17'!$I$336</f>
        <v>26923.090726580664</v>
      </c>
      <c r="I86" s="133">
        <f t="shared" ref="I86:I96" si="9">H86*F$114</f>
        <v>18890.09423774515</v>
      </c>
      <c r="J86" s="118"/>
      <c r="K86" s="118">
        <f t="shared" ref="K86:K96" si="10">(H86+I86)-J86</f>
        <v>45813.184964325817</v>
      </c>
    </row>
    <row r="87" spans="1:11" ht="18" customHeight="1" x14ac:dyDescent="0.2">
      <c r="A87" s="435" t="s">
        <v>114</v>
      </c>
      <c r="B87" s="419" t="s">
        <v>14</v>
      </c>
      <c r="F87" s="221">
        <f>'[10]CB Master List - FY18 &amp; CY17'!$G$344</f>
        <v>7.9994327135615704</v>
      </c>
      <c r="G87" s="221"/>
      <c r="H87" s="118"/>
      <c r="I87" s="133">
        <f t="shared" si="9"/>
        <v>0</v>
      </c>
      <c r="J87" s="118"/>
      <c r="K87" s="118">
        <f t="shared" si="10"/>
        <v>0</v>
      </c>
    </row>
    <row r="88" spans="1:11" ht="18" customHeight="1" x14ac:dyDescent="0.2">
      <c r="A88" s="435" t="s">
        <v>115</v>
      </c>
      <c r="B88" s="419" t="s">
        <v>116</v>
      </c>
      <c r="F88" s="221">
        <f>'[10]CB Master List - FY18 &amp; CY17'!$G$354</f>
        <v>3939.6</v>
      </c>
      <c r="G88" s="221">
        <f>'[10]CB Master List - FY18 &amp; CY17'!$H$354</f>
        <v>72</v>
      </c>
      <c r="H88" s="118">
        <f>'[10]CB Master List - FY18 &amp; CY17'!$I$354</f>
        <v>173704.8</v>
      </c>
      <c r="I88" s="133">
        <f t="shared" si="9"/>
        <v>121876.79619966912</v>
      </c>
      <c r="J88" s="118"/>
      <c r="K88" s="118">
        <f t="shared" si="10"/>
        <v>295581.59619966912</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f>'[10]CB Master List - FY18 &amp; CY17'!$G$370</f>
        <v>87.243276299616838</v>
      </c>
      <c r="G90" s="221"/>
      <c r="H90" s="118"/>
      <c r="I90" s="133">
        <f t="shared" si="9"/>
        <v>0</v>
      </c>
      <c r="J90" s="118"/>
      <c r="K90" s="118">
        <f t="shared" si="10"/>
        <v>0</v>
      </c>
    </row>
    <row r="91" spans="1:11" ht="18" customHeight="1" x14ac:dyDescent="0.2">
      <c r="A91" s="435" t="s">
        <v>119</v>
      </c>
      <c r="B91" s="419" t="s">
        <v>60</v>
      </c>
      <c r="F91" s="221">
        <f>'[10]CB Master List - FY18 &amp; CY17'!$G$379</f>
        <v>1033.0970342396622</v>
      </c>
      <c r="G91" s="221"/>
      <c r="H91" s="118">
        <f>'[10]CB Master List - FY18 &amp; CY17'!$I$379</f>
        <v>57370.403200000001</v>
      </c>
      <c r="I91" s="133">
        <f t="shared" si="9"/>
        <v>40252.894213051368</v>
      </c>
      <c r="J91" s="118"/>
      <c r="K91" s="118">
        <f t="shared" si="10"/>
        <v>97623.297413051361</v>
      </c>
    </row>
    <row r="92" spans="1:11" ht="18" customHeight="1" x14ac:dyDescent="0.2">
      <c r="A92" s="435" t="s">
        <v>120</v>
      </c>
      <c r="B92" s="419" t="s">
        <v>121</v>
      </c>
      <c r="F92" s="257">
        <f>'[10]CB Master List - FY18 &amp; CY17'!$G$391</f>
        <v>204.99884406297139</v>
      </c>
      <c r="G92" s="257"/>
      <c r="H92" s="429">
        <f>'[10]CB Master List - FY18 &amp; CY17'!$I$391</f>
        <v>568681.01</v>
      </c>
      <c r="I92" s="133">
        <f t="shared" si="9"/>
        <v>399004.63060544099</v>
      </c>
      <c r="J92" s="429"/>
      <c r="K92" s="118">
        <f t="shared" si="10"/>
        <v>967685.64060544106</v>
      </c>
    </row>
    <row r="93" spans="1:11" ht="18" customHeight="1" x14ac:dyDescent="0.2">
      <c r="A93" s="435" t="s">
        <v>122</v>
      </c>
      <c r="B93" s="419" t="s">
        <v>123</v>
      </c>
      <c r="F93" s="221">
        <f>'[10]CB Master List - FY18 &amp; CY17'!$G$399</f>
        <v>319.99999999999972</v>
      </c>
      <c r="G93" s="221">
        <f>'[10]CB Master List - FY18 &amp; CY17'!$H$399</f>
        <v>2560</v>
      </c>
      <c r="H93" s="118">
        <f>'[10]CB Master List - FY18 &amp; CY17'!$I$399</f>
        <v>13439.999999999987</v>
      </c>
      <c r="I93" s="133">
        <f t="shared" si="9"/>
        <v>9429.9302087423694</v>
      </c>
      <c r="J93" s="118"/>
      <c r="K93" s="118">
        <f t="shared" si="10"/>
        <v>22869.930208742357</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5592.9385873158117</v>
      </c>
      <c r="G98" s="221">
        <f t="shared" si="11"/>
        <v>2632</v>
      </c>
      <c r="H98" s="221">
        <f t="shared" si="11"/>
        <v>840119.3039265807</v>
      </c>
      <c r="I98" s="221">
        <f t="shared" si="11"/>
        <v>589454.34546464903</v>
      </c>
      <c r="J98" s="221">
        <f t="shared" si="11"/>
        <v>0</v>
      </c>
      <c r="K98" s="221">
        <f t="shared" si="11"/>
        <v>1429573.6493912297</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f>'[10]CB Master List - FY18 &amp; CY17'!$G$425</f>
        <v>3994.8587284692685</v>
      </c>
      <c r="G102" s="221"/>
      <c r="H102" s="118">
        <f>'[10]CB Master List - FY18 &amp; CY17'!$I$425</f>
        <v>266159.31385000004</v>
      </c>
      <c r="I102" s="133">
        <f>H102*F$114</f>
        <v>186745.81503067404</v>
      </c>
      <c r="J102" s="118"/>
      <c r="K102" s="118">
        <f>(H102+I102)-J102</f>
        <v>452905.12888067408</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6" t="s">
        <v>192</v>
      </c>
      <c r="C104" s="417"/>
      <c r="D104" s="412"/>
      <c r="F104" s="221">
        <f>'[10]CB Master List - FY18 &amp; CY17'!$G$442</f>
        <v>2329</v>
      </c>
      <c r="G104" s="221"/>
      <c r="H104" s="118">
        <f>'[10]CB Master List - FY18 &amp; CY17'!$I$442</f>
        <v>112505.80600000001</v>
      </c>
      <c r="I104" s="133">
        <f>H104*F$114</f>
        <v>78937.641269219472</v>
      </c>
      <c r="J104" s="118"/>
      <c r="K104" s="118">
        <f>(H104+I104)-J104</f>
        <v>191443.4472692195</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6323.8587284692685</v>
      </c>
      <c r="G108" s="221">
        <f t="shared" si="12"/>
        <v>0</v>
      </c>
      <c r="H108" s="118">
        <f t="shared" si="12"/>
        <v>378665.11985000002</v>
      </c>
      <c r="I108" s="118">
        <f t="shared" si="12"/>
        <v>265683.4562998935</v>
      </c>
      <c r="J108" s="118">
        <f t="shared" si="12"/>
        <v>0</v>
      </c>
      <c r="K108" s="118">
        <f t="shared" si="12"/>
        <v>644348.57614989358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f>'[10]CB Master List - FY18 &amp; CY17'!$L$462</f>
        <v>2979569.0599999996</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f>'[10]CB Master List - FY18 &amp; CY17'!$L$467</f>
        <v>0.70163171195999841</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f>'[11]Consolidating P&amp;L'!$M$68-'[11]Consolidating P&amp;L'!$F$68-1762733</f>
        <v>350403935</v>
      </c>
    </row>
    <row r="118" spans="1:6" ht="18" customHeight="1" x14ac:dyDescent="0.2">
      <c r="A118" s="435" t="s">
        <v>173</v>
      </c>
      <c r="B118" s="259" t="s">
        <v>18</v>
      </c>
      <c r="F118" s="118">
        <f>'[11]Consolidating P&amp;L'!$M$116-'[11]Consolidating P&amp;L'!$F$116</f>
        <v>7192234</v>
      </c>
    </row>
    <row r="119" spans="1:6" ht="18" customHeight="1" x14ac:dyDescent="0.2">
      <c r="A119" s="435" t="s">
        <v>174</v>
      </c>
      <c r="B119" s="421" t="s">
        <v>19</v>
      </c>
      <c r="F119" s="118">
        <f>SUM(F117:F118)</f>
        <v>357596169</v>
      </c>
    </row>
    <row r="120" spans="1:6" ht="18" customHeight="1" x14ac:dyDescent="0.2">
      <c r="A120" s="435"/>
      <c r="B120" s="421"/>
    </row>
    <row r="121" spans="1:6" ht="18" customHeight="1" x14ac:dyDescent="0.2">
      <c r="A121" s="435" t="s">
        <v>167</v>
      </c>
      <c r="B121" s="421" t="s">
        <v>36</v>
      </c>
      <c r="F121" s="118">
        <f>'[11]Consolidating P&amp;L'!$M$471-'[11]Consolidating P&amp;L'!$F$471-1762733-47000+13947</f>
        <v>337019361</v>
      </c>
    </row>
    <row r="122" spans="1:6" ht="18" customHeight="1" x14ac:dyDescent="0.2">
      <c r="A122" s="435"/>
    </row>
    <row r="123" spans="1:6" ht="18" customHeight="1" x14ac:dyDescent="0.2">
      <c r="A123" s="435" t="s">
        <v>175</v>
      </c>
      <c r="B123" s="421" t="s">
        <v>20</v>
      </c>
      <c r="F123" s="118">
        <f>+F119-F121</f>
        <v>20576808</v>
      </c>
    </row>
    <row r="124" spans="1:6" ht="18" customHeight="1" x14ac:dyDescent="0.2">
      <c r="A124" s="435"/>
    </row>
    <row r="125" spans="1:6" ht="18" customHeight="1" x14ac:dyDescent="0.2">
      <c r="A125" s="435" t="s">
        <v>176</v>
      </c>
      <c r="B125" s="421" t="s">
        <v>21</v>
      </c>
      <c r="F125" s="118">
        <f>'[11]Consolidating P&amp;L'!$M$491-'[11]Consolidating P&amp;L'!$F$491</f>
        <v>3576216</v>
      </c>
    </row>
    <row r="126" spans="1:6" ht="18" customHeight="1" x14ac:dyDescent="0.2">
      <c r="A126" s="435"/>
    </row>
    <row r="127" spans="1:6" ht="18" customHeight="1" x14ac:dyDescent="0.2">
      <c r="A127" s="435" t="s">
        <v>177</v>
      </c>
      <c r="B127" s="421" t="s">
        <v>22</v>
      </c>
      <c r="F127" s="118">
        <f>+F123+F125</f>
        <v>24153024</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19415.482635655833</v>
      </c>
      <c r="G141" s="422">
        <f t="shared" si="14"/>
        <v>10756.956459705256</v>
      </c>
      <c r="H141" s="422">
        <f t="shared" si="14"/>
        <v>3395404.5641580028</v>
      </c>
      <c r="I141" s="422">
        <f t="shared" si="14"/>
        <v>2338792.812310379</v>
      </c>
      <c r="J141" s="422">
        <f t="shared" si="14"/>
        <v>49703.725900000005</v>
      </c>
      <c r="K141" s="422">
        <f t="shared" si="14"/>
        <v>5684493.6505683819</v>
      </c>
    </row>
    <row r="142" spans="1:11" ht="18" customHeight="1" x14ac:dyDescent="0.2">
      <c r="A142" s="435" t="s">
        <v>142</v>
      </c>
      <c r="B142" s="421" t="s">
        <v>65</v>
      </c>
      <c r="F142" s="422">
        <f t="shared" ref="F142:K142" si="15">F49</f>
        <v>16772.474884406296</v>
      </c>
      <c r="G142" s="422">
        <f t="shared" si="15"/>
        <v>7366.9189067716188</v>
      </c>
      <c r="H142" s="422">
        <f t="shared" si="15"/>
        <v>848752.21415000001</v>
      </c>
      <c r="I142" s="422">
        <f t="shared" si="15"/>
        <v>0</v>
      </c>
      <c r="J142" s="422">
        <f t="shared" si="15"/>
        <v>10882.376</v>
      </c>
      <c r="K142" s="422">
        <f t="shared" si="15"/>
        <v>837869.83814999997</v>
      </c>
    </row>
    <row r="143" spans="1:11" ht="18" customHeight="1" x14ac:dyDescent="0.2">
      <c r="A143" s="435" t="s">
        <v>144</v>
      </c>
      <c r="B143" s="421" t="s">
        <v>66</v>
      </c>
      <c r="F143" s="422">
        <f t="shared" ref="F143:K143" si="16">F64</f>
        <v>125176.51333333334</v>
      </c>
      <c r="G143" s="422">
        <f t="shared" si="16"/>
        <v>479</v>
      </c>
      <c r="H143" s="422">
        <f t="shared" si="16"/>
        <v>14381997.965042643</v>
      </c>
      <c r="I143" s="422">
        <f t="shared" si="16"/>
        <v>0</v>
      </c>
      <c r="J143" s="422">
        <f t="shared" si="16"/>
        <v>286342.55</v>
      </c>
      <c r="K143" s="422">
        <f t="shared" si="16"/>
        <v>14095655.415042643</v>
      </c>
    </row>
    <row r="144" spans="1:11" ht="18" customHeight="1" x14ac:dyDescent="0.2">
      <c r="A144" s="435" t="s">
        <v>146</v>
      </c>
      <c r="B144" s="421" t="s">
        <v>67</v>
      </c>
      <c r="F144" s="422">
        <f t="shared" ref="F144:K144" si="17">F74</f>
        <v>15095.68</v>
      </c>
      <c r="G144" s="422">
        <f t="shared" si="17"/>
        <v>0</v>
      </c>
      <c r="H144" s="422">
        <f t="shared" si="17"/>
        <v>975380.51</v>
      </c>
      <c r="I144" s="422">
        <f t="shared" si="17"/>
        <v>0</v>
      </c>
      <c r="J144" s="422">
        <f t="shared" si="17"/>
        <v>80730.52</v>
      </c>
      <c r="K144" s="422">
        <f t="shared" si="17"/>
        <v>894649.99</v>
      </c>
    </row>
    <row r="145" spans="1:11" ht="18" customHeight="1" x14ac:dyDescent="0.2">
      <c r="A145" s="435" t="s">
        <v>148</v>
      </c>
      <c r="B145" s="421" t="s">
        <v>68</v>
      </c>
      <c r="F145" s="422">
        <f t="shared" ref="F145:K145" si="18">F82</f>
        <v>205.73672598978794</v>
      </c>
      <c r="G145" s="422">
        <f t="shared" si="18"/>
        <v>0</v>
      </c>
      <c r="H145" s="422">
        <f t="shared" si="18"/>
        <v>510242.33999999997</v>
      </c>
      <c r="I145" s="422">
        <f t="shared" si="18"/>
        <v>0</v>
      </c>
      <c r="J145" s="422">
        <f t="shared" si="18"/>
        <v>0</v>
      </c>
      <c r="K145" s="422">
        <f t="shared" si="18"/>
        <v>510242.33999999997</v>
      </c>
    </row>
    <row r="146" spans="1:11" ht="18" customHeight="1" x14ac:dyDescent="0.2">
      <c r="A146" s="435" t="s">
        <v>150</v>
      </c>
      <c r="B146" s="421" t="s">
        <v>69</v>
      </c>
      <c r="F146" s="422">
        <f t="shared" ref="F146:K146" si="19">F98</f>
        <v>5592.9385873158117</v>
      </c>
      <c r="G146" s="422">
        <f t="shared" si="19"/>
        <v>2632</v>
      </c>
      <c r="H146" s="422">
        <f t="shared" si="19"/>
        <v>840119.3039265807</v>
      </c>
      <c r="I146" s="422">
        <f t="shared" si="19"/>
        <v>589454.34546464903</v>
      </c>
      <c r="J146" s="422">
        <f t="shared" si="19"/>
        <v>0</v>
      </c>
      <c r="K146" s="422">
        <f t="shared" si="19"/>
        <v>1429573.6493912297</v>
      </c>
    </row>
    <row r="147" spans="1:11" ht="18" customHeight="1" x14ac:dyDescent="0.2">
      <c r="A147" s="435" t="s">
        <v>153</v>
      </c>
      <c r="B147" s="421" t="s">
        <v>61</v>
      </c>
      <c r="F147" s="221">
        <f t="shared" ref="F147:K147" si="20">F108</f>
        <v>6323.8587284692685</v>
      </c>
      <c r="G147" s="221">
        <f t="shared" si="20"/>
        <v>0</v>
      </c>
      <c r="H147" s="221">
        <f t="shared" si="20"/>
        <v>378665.11985000002</v>
      </c>
      <c r="I147" s="221">
        <f t="shared" si="20"/>
        <v>265683.4562998935</v>
      </c>
      <c r="J147" s="221">
        <f t="shared" si="20"/>
        <v>0</v>
      </c>
      <c r="K147" s="221">
        <f t="shared" si="20"/>
        <v>644348.57614989358</v>
      </c>
    </row>
    <row r="148" spans="1:11" ht="18" customHeight="1" x14ac:dyDescent="0.2">
      <c r="A148" s="435" t="s">
        <v>155</v>
      </c>
      <c r="B148" s="421" t="s">
        <v>70</v>
      </c>
      <c r="F148" s="485" t="s">
        <v>73</v>
      </c>
      <c r="G148" s="485" t="s">
        <v>73</v>
      </c>
      <c r="H148" s="486" t="s">
        <v>73</v>
      </c>
      <c r="I148" s="486" t="s">
        <v>73</v>
      </c>
      <c r="J148" s="486" t="s">
        <v>73</v>
      </c>
      <c r="K148" s="423">
        <f>F111</f>
        <v>2979569.0599999996</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8837085.6699999999</v>
      </c>
      <c r="I150" s="221">
        <f>I18</f>
        <v>0</v>
      </c>
      <c r="J150" s="221">
        <f>J18</f>
        <v>7469081.2199999997</v>
      </c>
      <c r="K150" s="221">
        <f>K18</f>
        <v>1368004.4500000002</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188582.68489517033</v>
      </c>
      <c r="G152" s="487">
        <f t="shared" si="22"/>
        <v>21234.875366476874</v>
      </c>
      <c r="H152" s="487">
        <f t="shared" si="22"/>
        <v>30167647.687127225</v>
      </c>
      <c r="I152" s="487">
        <f t="shared" si="22"/>
        <v>3193930.6140749217</v>
      </c>
      <c r="J152" s="487">
        <f t="shared" si="22"/>
        <v>7896740.3919000002</v>
      </c>
      <c r="K152" s="487">
        <f t="shared" si="22"/>
        <v>28444406.969302144</v>
      </c>
    </row>
    <row r="154" spans="1:11" ht="18" customHeight="1" x14ac:dyDescent="0.2">
      <c r="A154" s="455" t="s">
        <v>168</v>
      </c>
      <c r="B154" s="421" t="s">
        <v>28</v>
      </c>
      <c r="F154" s="140">
        <f>K152/F121</f>
        <v>8.4399919591866254E-2</v>
      </c>
    </row>
    <row r="155" spans="1:11" ht="18" customHeight="1" x14ac:dyDescent="0.2">
      <c r="A155" s="455" t="s">
        <v>169</v>
      </c>
      <c r="B155" s="421" t="s">
        <v>72</v>
      </c>
      <c r="F155" s="140">
        <f>K152/F127</f>
        <v>1.1776747693912839</v>
      </c>
      <c r="G155" s="421"/>
    </row>
    <row r="156" spans="1:11" ht="18" customHeight="1" x14ac:dyDescent="0.2">
      <c r="G156" s="421"/>
    </row>
  </sheetData>
  <sheetProtection algorithmName="SHA-512" hashValue="5mtLirVa9YCMFMYsLszvlWF3o89GVm/+kzhfJ2/w3M6TtyrW7dIcll+5UAwzwfHB1YckQh7vr5pRScyHu9169g==" saltValue="qLCXBlZbHVb+AJ08WxZiSg==" spinCount="100000" sheet="1" objects="1" scenarios="1"/>
  <mergeCells count="34">
    <mergeCell ref="B52:C52"/>
    <mergeCell ref="B53:D53"/>
    <mergeCell ref="B55:D55"/>
    <mergeCell ref="B56:D56"/>
    <mergeCell ref="B62:D62"/>
    <mergeCell ref="B103:C103"/>
    <mergeCell ref="B96:D96"/>
    <mergeCell ref="B95:D95"/>
    <mergeCell ref="B57:D57"/>
    <mergeCell ref="B94:D94"/>
    <mergeCell ref="B90:C90"/>
    <mergeCell ref="B59:D59"/>
    <mergeCell ref="B134:D134"/>
    <mergeCell ref="B135:D135"/>
    <mergeCell ref="B133:D133"/>
    <mergeCell ref="B104:D104"/>
    <mergeCell ref="B105:D105"/>
    <mergeCell ref="B106:D106"/>
    <mergeCell ref="D2:H2"/>
    <mergeCell ref="B45:D45"/>
    <mergeCell ref="B46:D46"/>
    <mergeCell ref="B47:D47"/>
    <mergeCell ref="B34:D34"/>
    <mergeCell ref="B41:C41"/>
    <mergeCell ref="B44:D44"/>
    <mergeCell ref="B13:H13"/>
    <mergeCell ref="C5:G5"/>
    <mergeCell ref="C6:G6"/>
    <mergeCell ref="C7:G7"/>
    <mergeCell ref="C11:G11"/>
    <mergeCell ref="C9:G9"/>
    <mergeCell ref="C10:G10"/>
    <mergeCell ref="B31:D31"/>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K156"/>
  <sheetViews>
    <sheetView showGridLines="0" zoomScaleNormal="100"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525</v>
      </c>
      <c r="D5" s="437"/>
      <c r="E5" s="437"/>
      <c r="F5" s="437"/>
      <c r="G5" s="438"/>
    </row>
    <row r="6" spans="1:11" ht="18" customHeight="1" x14ac:dyDescent="0.2">
      <c r="B6" s="435" t="s">
        <v>3</v>
      </c>
      <c r="C6" s="439">
        <v>3029</v>
      </c>
      <c r="D6" s="440"/>
      <c r="E6" s="440"/>
      <c r="F6" s="440"/>
      <c r="G6" s="441"/>
    </row>
    <row r="7" spans="1:11" ht="18" customHeight="1" x14ac:dyDescent="0.2">
      <c r="B7" s="435" t="s">
        <v>4</v>
      </c>
      <c r="C7" s="492">
        <v>499</v>
      </c>
      <c r="D7" s="493"/>
      <c r="E7" s="493"/>
      <c r="F7" s="493"/>
      <c r="G7" s="494"/>
    </row>
    <row r="9" spans="1:11" ht="18" customHeight="1" x14ac:dyDescent="0.2">
      <c r="B9" s="435" t="s">
        <v>1</v>
      </c>
      <c r="C9" s="436" t="s">
        <v>613</v>
      </c>
      <c r="D9" s="437"/>
      <c r="E9" s="437"/>
      <c r="F9" s="437"/>
      <c r="G9" s="438"/>
    </row>
    <row r="10" spans="1:11" ht="18" customHeight="1" x14ac:dyDescent="0.2">
      <c r="B10" s="435" t="s">
        <v>2</v>
      </c>
      <c r="C10" s="445" t="s">
        <v>614</v>
      </c>
      <c r="D10" s="446"/>
      <c r="E10" s="446"/>
      <c r="F10" s="446"/>
      <c r="G10" s="447"/>
    </row>
    <row r="11" spans="1:11" ht="18" customHeight="1" x14ac:dyDescent="0.2">
      <c r="B11" s="435" t="s">
        <v>32</v>
      </c>
      <c r="C11" s="634" t="s">
        <v>615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f>'[10]CB Master List - FY18 &amp; CY17'!$CM$11</f>
        <v>0</v>
      </c>
      <c r="G18" s="221">
        <f>'[10]CB Master List - FY18 &amp; CY17'!$CN$11</f>
        <v>0</v>
      </c>
      <c r="H18" s="118">
        <f>'[10]CB Master List - FY18 &amp; CY17'!$CO$11</f>
        <v>0</v>
      </c>
      <c r="I18" s="133">
        <v>0</v>
      </c>
      <c r="J18" s="118">
        <f>'[10]CB Master List - FY18 &amp; CY17'!$CQ$11</f>
        <v>0</v>
      </c>
      <c r="K18" s="118">
        <f>(H18+I18)-J18</f>
        <v>0</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f>'[10]CB Master List - FY18 &amp; CY17'!$CM$40</f>
        <v>493.18063195504322</v>
      </c>
      <c r="G21" s="221">
        <f>'[10]CB Master List - FY18 &amp; CY17'!$CN$40</f>
        <v>28.952425639198371</v>
      </c>
      <c r="H21" s="118">
        <f>'[10]CB Master List - FY18 &amp; CY17'!$CO$40</f>
        <v>24670.015217600001</v>
      </c>
      <c r="I21" s="133">
        <f>H21*F$114</f>
        <v>22726.051346885451</v>
      </c>
      <c r="J21" s="118">
        <f>'[10]CB Master List - FY18 &amp; CY17'!$CQ$40</f>
        <v>1220.2020320000004</v>
      </c>
      <c r="K21" s="118">
        <f t="shared" ref="K21:K34" si="0">(H21+I21)-J21</f>
        <v>46175.864532485451</v>
      </c>
    </row>
    <row r="22" spans="1:11" ht="18" customHeight="1" x14ac:dyDescent="0.2">
      <c r="A22" s="435" t="s">
        <v>76</v>
      </c>
      <c r="B22" s="259" t="s">
        <v>6</v>
      </c>
      <c r="F22" s="221">
        <f>'[10]CB Master List - FY18 &amp; CY17'!$CM$59</f>
        <v>856.35432000000003</v>
      </c>
      <c r="G22" s="221">
        <f>'[10]CB Master List - FY18 &amp; CY17'!$CN$59</f>
        <v>763</v>
      </c>
      <c r="H22" s="118">
        <f>'[10]CB Master List - FY18 &amp; CY17'!$CO$59</f>
        <v>25478.221992760002</v>
      </c>
      <c r="I22" s="133">
        <f t="shared" ref="I22:I34" si="1">H22*F$114</f>
        <v>23470.572520025355</v>
      </c>
      <c r="J22" s="118">
        <f>'[10]CB Master List - FY18 &amp; CY17'!$CQ$59</f>
        <v>4646.9311688000007</v>
      </c>
      <c r="K22" s="118">
        <f t="shared" si="0"/>
        <v>44301.863343985358</v>
      </c>
    </row>
    <row r="23" spans="1:11" ht="18" customHeight="1" x14ac:dyDescent="0.2">
      <c r="A23" s="435" t="s">
        <v>77</v>
      </c>
      <c r="B23" s="259" t="s">
        <v>43</v>
      </c>
      <c r="F23" s="221">
        <f>'[10]CB Master List - FY18 &amp; CY17'!$CM$64</f>
        <v>60.211200000000005</v>
      </c>
      <c r="G23" s="221">
        <f>'[10]CB Master List - FY18 &amp; CY17'!$CN$64</f>
        <v>0</v>
      </c>
      <c r="H23" s="118">
        <f>'[10]CB Master List - FY18 &amp; CY17'!$CO$64</f>
        <v>2514.3217623999999</v>
      </c>
      <c r="I23" s="133">
        <f t="shared" si="1"/>
        <v>2316.1966042943036</v>
      </c>
      <c r="J23" s="118">
        <f>'[10]CB Master List - FY18 &amp; CY17'!$CQ$64</f>
        <v>181.06625600000004</v>
      </c>
      <c r="K23" s="118">
        <f t="shared" si="0"/>
        <v>4649.452110694303</v>
      </c>
    </row>
    <row r="24" spans="1:11" ht="18" customHeight="1" x14ac:dyDescent="0.2">
      <c r="A24" s="435" t="s">
        <v>78</v>
      </c>
      <c r="B24" s="259" t="s">
        <v>44</v>
      </c>
      <c r="F24" s="221">
        <f>'[10]CB Master List - FY18 &amp; CY17'!$CM$76</f>
        <v>18319</v>
      </c>
      <c r="G24" s="221">
        <f>'[10]CB Master List - FY18 &amp; CY17'!$CN$76</f>
        <v>11009</v>
      </c>
      <c r="H24" s="118">
        <f>'[10]CB Master List - FY18 &amp; CY17'!$CO$76</f>
        <v>587167.81000000006</v>
      </c>
      <c r="I24" s="133">
        <f t="shared" si="1"/>
        <v>540899.77981766488</v>
      </c>
      <c r="J24" s="118">
        <f>'[10]CB Master List - FY18 &amp; CY17'!$CQ$76</f>
        <v>186450</v>
      </c>
      <c r="K24" s="118">
        <f t="shared" si="0"/>
        <v>941617.58981766505</v>
      </c>
    </row>
    <row r="25" spans="1:11" ht="18" customHeight="1" x14ac:dyDescent="0.2">
      <c r="A25" s="435" t="s">
        <v>79</v>
      </c>
      <c r="B25" s="259" t="s">
        <v>5</v>
      </c>
      <c r="F25" s="221">
        <f>'[10]CB Master List - FY18 &amp; CY17'!$CM$93</f>
        <v>274.49743999999998</v>
      </c>
      <c r="G25" s="221">
        <f>'[10]CB Master List - FY18 &amp; CY17'!$CN$93</f>
        <v>0</v>
      </c>
      <c r="H25" s="118">
        <f>'[10]CB Master List - FY18 &amp; CY17'!$CO$93</f>
        <v>8569.1012657600004</v>
      </c>
      <c r="I25" s="133">
        <f t="shared" si="1"/>
        <v>7893.8676626105525</v>
      </c>
      <c r="J25" s="118">
        <f>'[10]CB Master List - FY18 &amp; CY17'!$CQ$93</f>
        <v>642.19400000000007</v>
      </c>
      <c r="K25" s="118">
        <f t="shared" si="0"/>
        <v>15820.774928370553</v>
      </c>
    </row>
    <row r="26" spans="1:11" ht="18" customHeight="1" x14ac:dyDescent="0.2">
      <c r="A26" s="435" t="s">
        <v>80</v>
      </c>
      <c r="B26" s="259" t="s">
        <v>45</v>
      </c>
      <c r="F26" s="221">
        <f>'[10]CB Master List - FY18 &amp; CY17'!$CM$96</f>
        <v>0</v>
      </c>
      <c r="G26" s="221">
        <f>'[10]CB Master List - FY18 &amp; CY17'!$CN$96</f>
        <v>0</v>
      </c>
      <c r="H26" s="118">
        <f>'[10]CB Master List - FY18 &amp; CY17'!$CO$96</f>
        <v>0</v>
      </c>
      <c r="I26" s="133">
        <f t="shared" si="1"/>
        <v>0</v>
      </c>
      <c r="J26" s="118">
        <f>'[10]CB Master List - FY18 &amp; CY17'!$CQ$96</f>
        <v>0</v>
      </c>
      <c r="K26" s="118">
        <f t="shared" si="0"/>
        <v>0</v>
      </c>
    </row>
    <row r="27" spans="1:11" ht="18" customHeight="1" x14ac:dyDescent="0.2">
      <c r="A27" s="435" t="s">
        <v>81</v>
      </c>
      <c r="B27" s="259" t="s">
        <v>536</v>
      </c>
      <c r="F27" s="221">
        <f>'[10]CB Master List - FY18 &amp; CY17'!$CM$99</f>
        <v>0</v>
      </c>
      <c r="G27" s="221">
        <f>'[10]CB Master List - FY18 &amp; CY17'!$CN$99</f>
        <v>0</v>
      </c>
      <c r="H27" s="118">
        <f>'[10]CB Master List - FY18 &amp; CY17'!$CO$99</f>
        <v>0</v>
      </c>
      <c r="I27" s="133">
        <f>H27*F$114</f>
        <v>0</v>
      </c>
      <c r="J27" s="118">
        <f>'[10]CB Master List - FY18 &amp; CY17'!$CQ$99</f>
        <v>0</v>
      </c>
      <c r="K27" s="118">
        <f t="shared" si="0"/>
        <v>0</v>
      </c>
    </row>
    <row r="28" spans="1:11" ht="18" customHeight="1" x14ac:dyDescent="0.2">
      <c r="A28" s="435" t="s">
        <v>82</v>
      </c>
      <c r="B28" s="259" t="s">
        <v>47</v>
      </c>
      <c r="F28" s="221">
        <f>'[10]CB Master List - FY18 &amp; CY17'!$CM$102</f>
        <v>0</v>
      </c>
      <c r="G28" s="221">
        <f>'[10]CB Master List - FY18 &amp; CY17'!$CN$102</f>
        <v>0</v>
      </c>
      <c r="H28" s="118">
        <f>'[10]CB Master List - FY18 &amp; CY17'!$CO$102</f>
        <v>0</v>
      </c>
      <c r="I28" s="133">
        <f>H28*F$114</f>
        <v>0</v>
      </c>
      <c r="J28" s="118">
        <f>'[10]CB Master List - FY18 &amp; CY17'!$CQ$102</f>
        <v>0</v>
      </c>
      <c r="K28" s="118">
        <f t="shared" si="0"/>
        <v>0</v>
      </c>
    </row>
    <row r="29" spans="1:11" ht="18" customHeight="1" x14ac:dyDescent="0.2">
      <c r="A29" s="435" t="s">
        <v>83</v>
      </c>
      <c r="B29" s="259" t="s">
        <v>48</v>
      </c>
      <c r="F29" s="221">
        <f>'[10]CB Master List - FY18 &amp; CY17'!$CM$121</f>
        <v>22.150912790271136</v>
      </c>
      <c r="G29" s="221">
        <f>'[10]CB Master List - FY18 &amp; CY17'!$CN$121</f>
        <v>1134.3285046747169</v>
      </c>
      <c r="H29" s="118">
        <f>'[10]CB Master List - FY18 &amp; CY17'!$CO$121</f>
        <v>101215.40672319999</v>
      </c>
      <c r="I29" s="133">
        <f t="shared" si="1"/>
        <v>93239.76941231548</v>
      </c>
      <c r="J29" s="118">
        <f>'[10]CB Master List - FY18 &amp; CY17'!$CQ$121</f>
        <v>31.15728</v>
      </c>
      <c r="K29" s="118">
        <f t="shared" si="0"/>
        <v>194424.01885551546</v>
      </c>
    </row>
    <row r="30" spans="1:11" ht="18" customHeight="1" x14ac:dyDescent="0.2">
      <c r="A30" s="435" t="s">
        <v>84</v>
      </c>
      <c r="B30" s="416" t="s">
        <v>193</v>
      </c>
      <c r="C30" s="635"/>
      <c r="D30" s="636"/>
      <c r="F30" s="221">
        <f>'[10]CB Master List - FY18 &amp; CY17'!$CM$136</f>
        <v>35.052800000000005</v>
      </c>
      <c r="G30" s="221">
        <f>'[10]CB Master List - FY18 &amp; CY17'!$CN$136</f>
        <v>200</v>
      </c>
      <c r="H30" s="118">
        <f>'[10]CB Master List - FY18 &amp; CY17'!$CO$136</f>
        <v>628.58044059999997</v>
      </c>
      <c r="I30" s="133">
        <f t="shared" si="1"/>
        <v>579.0491510735759</v>
      </c>
      <c r="J30" s="118">
        <f>'[10]CB Master List - FY18 &amp; CY17'!$CQ$136</f>
        <v>45.26656400000001</v>
      </c>
      <c r="K30" s="118">
        <f t="shared" si="0"/>
        <v>1162.3630276735757</v>
      </c>
    </row>
    <row r="31" spans="1:11" ht="18" customHeight="1" x14ac:dyDescent="0.2">
      <c r="A31" s="435" t="s">
        <v>133</v>
      </c>
      <c r="B31" s="416"/>
      <c r="C31" s="635"/>
      <c r="D31" s="636"/>
      <c r="F31" s="221"/>
      <c r="G31" s="221"/>
      <c r="H31" s="118"/>
      <c r="I31" s="133">
        <f t="shared" si="1"/>
        <v>0</v>
      </c>
      <c r="J31" s="118"/>
      <c r="K31" s="118">
        <f t="shared" si="0"/>
        <v>0</v>
      </c>
    </row>
    <row r="32" spans="1:11" ht="18" customHeight="1" x14ac:dyDescent="0.2">
      <c r="A32" s="435" t="s">
        <v>134</v>
      </c>
      <c r="B32" s="413"/>
      <c r="C32" s="848"/>
      <c r="D32" s="849"/>
      <c r="F32" s="221"/>
      <c r="G32" s="255" t="s">
        <v>85</v>
      </c>
      <c r="H32" s="118"/>
      <c r="I32" s="133">
        <f t="shared" si="1"/>
        <v>0</v>
      </c>
      <c r="J32" s="118"/>
      <c r="K32" s="118">
        <f t="shared" si="0"/>
        <v>0</v>
      </c>
    </row>
    <row r="33" spans="1:11" ht="18" customHeight="1" x14ac:dyDescent="0.2">
      <c r="A33" s="435" t="s">
        <v>135</v>
      </c>
      <c r="B33" s="413"/>
      <c r="C33" s="848"/>
      <c r="D33" s="849"/>
      <c r="F33" s="221"/>
      <c r="G33" s="255" t="s">
        <v>85</v>
      </c>
      <c r="H33" s="118"/>
      <c r="I33" s="133">
        <f t="shared" si="1"/>
        <v>0</v>
      </c>
      <c r="J33" s="118"/>
      <c r="K33" s="118">
        <f t="shared" si="0"/>
        <v>0</v>
      </c>
    </row>
    <row r="34" spans="1:11" ht="18" customHeight="1" x14ac:dyDescent="0.2">
      <c r="A34" s="435" t="s">
        <v>136</v>
      </c>
      <c r="B34" s="416"/>
      <c r="C34" s="635"/>
      <c r="D34" s="636"/>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20060.447304745314</v>
      </c>
      <c r="G36" s="221">
        <f t="shared" si="2"/>
        <v>13135.280930313915</v>
      </c>
      <c r="H36" s="118">
        <f t="shared" si="2"/>
        <v>750243.45740232011</v>
      </c>
      <c r="I36" s="118">
        <f t="shared" si="2"/>
        <v>691125.28651486966</v>
      </c>
      <c r="J36" s="118">
        <f t="shared" si="2"/>
        <v>193216.8173008</v>
      </c>
      <c r="K36" s="118">
        <f t="shared" si="2"/>
        <v>1248151.9266163898</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f>'[10]CB Master List - FY18 &amp; CY17'!$CM$156</f>
        <v>0</v>
      </c>
      <c r="G40" s="221">
        <f>'[10]CB Master List - FY18 &amp; CY17'!$CN$156</f>
        <v>0</v>
      </c>
      <c r="H40" s="118">
        <f>'[10]CB Master List - FY18 &amp; CY17'!$CO$156</f>
        <v>0</v>
      </c>
      <c r="I40" s="133">
        <v>0</v>
      </c>
      <c r="J40" s="118">
        <f>'[10]CB Master List - FY18 &amp; CY17'!$CQ$156</f>
        <v>0</v>
      </c>
      <c r="K40" s="118">
        <f t="shared" ref="K40:K47" si="3">(H40+I40)-J40</f>
        <v>0</v>
      </c>
    </row>
    <row r="41" spans="1:11" ht="18" customHeight="1" x14ac:dyDescent="0.2">
      <c r="A41" s="435" t="s">
        <v>88</v>
      </c>
      <c r="B41" s="465" t="s">
        <v>50</v>
      </c>
      <c r="C41" s="466"/>
      <c r="F41" s="221">
        <f>'[10]CB Master List - FY18 &amp; CY17'!$CM$166</f>
        <v>0</v>
      </c>
      <c r="G41" s="221">
        <f>'[10]CB Master List - FY18 &amp; CY17'!$CN$166</f>
        <v>0</v>
      </c>
      <c r="H41" s="118">
        <f>'[10]CB Master List - FY18 &amp; CY17'!$CO$166</f>
        <v>0</v>
      </c>
      <c r="I41" s="133">
        <v>0</v>
      </c>
      <c r="J41" s="118">
        <f>'[10]CB Master List - FY18 &amp; CY17'!$CQ$166</f>
        <v>0</v>
      </c>
      <c r="K41" s="118">
        <f t="shared" si="3"/>
        <v>0</v>
      </c>
    </row>
    <row r="42" spans="1:11" ht="18" customHeight="1" x14ac:dyDescent="0.2">
      <c r="A42" s="435" t="s">
        <v>89</v>
      </c>
      <c r="B42" s="419" t="s">
        <v>11</v>
      </c>
      <c r="F42" s="221">
        <f>'[10]CB Master List - FY18 &amp; CY17'!$CM$192</f>
        <v>12520.678311111111</v>
      </c>
      <c r="G42" s="221">
        <f>'[10]CB Master List - FY18 &amp; CY17'!$CN$192</f>
        <v>2220.8000000000002</v>
      </c>
      <c r="H42" s="118">
        <f>'[10]CB Master List - FY18 &amp; CY17'!$CO$192</f>
        <v>630058.65644480032</v>
      </c>
      <c r="I42" s="133">
        <v>0</v>
      </c>
      <c r="J42" s="118">
        <f>'[10]CB Master List - FY18 &amp; CY17'!$CQ$192</f>
        <v>1119.8461120000002</v>
      </c>
      <c r="K42" s="118">
        <f t="shared" si="3"/>
        <v>628938.81033280026</v>
      </c>
    </row>
    <row r="43" spans="1:11" ht="18" customHeight="1" x14ac:dyDescent="0.2">
      <c r="A43" s="435" t="s">
        <v>90</v>
      </c>
      <c r="B43" s="467" t="s">
        <v>10</v>
      </c>
      <c r="C43" s="468"/>
      <c r="D43" s="468"/>
      <c r="F43" s="221">
        <f>'[10]CB Master List - FY18 &amp; CY17'!$CM$195</f>
        <v>0</v>
      </c>
      <c r="G43" s="221">
        <f>'[10]CB Master List - FY18 &amp; CY17'!$CN$195</f>
        <v>0</v>
      </c>
      <c r="H43" s="118">
        <f>'[10]CB Master List - FY18 &amp; CY17'!$CO$195</f>
        <v>0</v>
      </c>
      <c r="I43" s="133">
        <v>0</v>
      </c>
      <c r="J43" s="118">
        <f>'[10]CB Master List - FY18 &amp; CY17'!$CQ$195</f>
        <v>0</v>
      </c>
      <c r="K43" s="118">
        <f t="shared" si="3"/>
        <v>0</v>
      </c>
    </row>
    <row r="44" spans="1:11" ht="18" customHeight="1" x14ac:dyDescent="0.2">
      <c r="A44" s="435" t="s">
        <v>91</v>
      </c>
      <c r="B44" s="416"/>
      <c r="C44" s="635"/>
      <c r="D44" s="636"/>
      <c r="F44" s="407"/>
      <c r="G44" s="407"/>
      <c r="H44" s="407"/>
      <c r="I44" s="408">
        <v>0</v>
      </c>
      <c r="J44" s="407"/>
      <c r="K44" s="134">
        <f t="shared" si="3"/>
        <v>0</v>
      </c>
    </row>
    <row r="45" spans="1:11" ht="18" customHeight="1" x14ac:dyDescent="0.2">
      <c r="A45" s="435" t="s">
        <v>139</v>
      </c>
      <c r="B45" s="416"/>
      <c r="C45" s="635"/>
      <c r="D45" s="636"/>
      <c r="F45" s="221"/>
      <c r="G45" s="221"/>
      <c r="H45" s="118"/>
      <c r="I45" s="133">
        <v>0</v>
      </c>
      <c r="J45" s="118"/>
      <c r="K45" s="118">
        <f t="shared" si="3"/>
        <v>0</v>
      </c>
    </row>
    <row r="46" spans="1:11" ht="18" customHeight="1" x14ac:dyDescent="0.2">
      <c r="A46" s="435" t="s">
        <v>140</v>
      </c>
      <c r="B46" s="416"/>
      <c r="C46" s="635"/>
      <c r="D46" s="636"/>
      <c r="F46" s="221"/>
      <c r="G46" s="221"/>
      <c r="H46" s="118"/>
      <c r="I46" s="133">
        <v>0</v>
      </c>
      <c r="J46" s="118"/>
      <c r="K46" s="118">
        <f t="shared" si="3"/>
        <v>0</v>
      </c>
    </row>
    <row r="47" spans="1:11" ht="18" customHeight="1" x14ac:dyDescent="0.2">
      <c r="A47" s="435" t="s">
        <v>141</v>
      </c>
      <c r="B47" s="416"/>
      <c r="C47" s="635"/>
      <c r="D47" s="636"/>
      <c r="F47" s="221"/>
      <c r="G47" s="221"/>
      <c r="H47" s="118"/>
      <c r="I47" s="133">
        <v>0</v>
      </c>
      <c r="J47" s="118"/>
      <c r="K47" s="118">
        <f t="shared" si="3"/>
        <v>0</v>
      </c>
    </row>
    <row r="49" spans="1:11" ht="18" customHeight="1" x14ac:dyDescent="0.2">
      <c r="A49" s="455" t="s">
        <v>142</v>
      </c>
      <c r="B49" s="421" t="s">
        <v>143</v>
      </c>
      <c r="E49" s="421" t="s">
        <v>7</v>
      </c>
      <c r="F49" s="221">
        <f t="shared" ref="F49:K49" si="4">SUM(F40:F47)</f>
        <v>12520.678311111111</v>
      </c>
      <c r="G49" s="221">
        <f t="shared" si="4"/>
        <v>2220.8000000000002</v>
      </c>
      <c r="H49" s="118">
        <f t="shared" si="4"/>
        <v>630058.65644480032</v>
      </c>
      <c r="I49" s="118">
        <f t="shared" si="4"/>
        <v>0</v>
      </c>
      <c r="J49" s="118">
        <f t="shared" si="4"/>
        <v>1119.8461120000002</v>
      </c>
      <c r="K49" s="118">
        <f t="shared" si="4"/>
        <v>628938.81033280026</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91" t="s">
        <v>187</v>
      </c>
      <c r="C53" s="411"/>
      <c r="D53" s="412"/>
      <c r="F53" s="221">
        <f>'[10]CB Master List - FY18 &amp; CY17'!$CM$207</f>
        <v>0</v>
      </c>
      <c r="G53" s="221">
        <f>'[10]CB Master List - FY18 &amp; CY17'!$CN$207</f>
        <v>0</v>
      </c>
      <c r="H53" s="118">
        <f>'[10]CB Master List - FY18 &amp; CY17'!$CO$207</f>
        <v>0</v>
      </c>
      <c r="I53" s="133">
        <v>0</v>
      </c>
      <c r="J53" s="118">
        <f>'[10]CB Master List - FY18 &amp; CY17'!$CQ$207</f>
        <v>0</v>
      </c>
      <c r="K53" s="141">
        <f>H53+I53-J53</f>
        <v>0</v>
      </c>
    </row>
    <row r="54" spans="1:11" ht="18" customHeight="1" x14ac:dyDescent="0.2">
      <c r="A54" s="435" t="s">
        <v>93</v>
      </c>
      <c r="B54" s="491" t="s">
        <v>188</v>
      </c>
      <c r="C54" s="411"/>
      <c r="D54" s="412"/>
      <c r="F54" s="221">
        <f>'[10]CB Master List - FY18 &amp; CY17'!$CM$223</f>
        <v>0</v>
      </c>
      <c r="G54" s="221">
        <f>'[10]CB Master List - FY18 &amp; CY17'!$CN$223</f>
        <v>0</v>
      </c>
      <c r="H54" s="118">
        <f>'[10]CB Master List - FY18 &amp; CY17'!$CO$223</f>
        <v>38314.44</v>
      </c>
      <c r="I54" s="133">
        <v>0</v>
      </c>
      <c r="J54" s="118">
        <f>'[10]CB Master List - FY18 &amp; CY17'!$CQ$223</f>
        <v>0</v>
      </c>
      <c r="K54" s="141">
        <f t="shared" ref="K54:K62" si="5">H54+I54-J54</f>
        <v>38314.44</v>
      </c>
    </row>
    <row r="55" spans="1:11" ht="18" customHeight="1" x14ac:dyDescent="0.2">
      <c r="A55" s="435" t="s">
        <v>94</v>
      </c>
      <c r="B55" s="491" t="s">
        <v>189</v>
      </c>
      <c r="C55" s="411"/>
      <c r="D55" s="412"/>
      <c r="F55" s="221">
        <f>'[10]CB Master List - FY18 &amp; CY17'!$CM$233</f>
        <v>0</v>
      </c>
      <c r="G55" s="221">
        <f>'[10]CB Master List - FY18 &amp; CY17'!$CN$233</f>
        <v>0</v>
      </c>
      <c r="H55" s="118">
        <f>'[10]CB Master List - FY18 &amp; CY17'!$CO$233</f>
        <v>0</v>
      </c>
      <c r="I55" s="133">
        <v>0</v>
      </c>
      <c r="J55" s="118">
        <f>'[10]CB Master List - FY18 &amp; CY17'!$CQ$233</f>
        <v>0</v>
      </c>
      <c r="K55" s="141">
        <f t="shared" si="5"/>
        <v>0</v>
      </c>
    </row>
    <row r="56" spans="1:11" ht="18" customHeight="1" x14ac:dyDescent="0.2">
      <c r="A56" s="435" t="s">
        <v>95</v>
      </c>
      <c r="B56" s="491" t="s">
        <v>190</v>
      </c>
      <c r="C56" s="411"/>
      <c r="D56" s="412"/>
      <c r="F56" s="221">
        <f>'[10]CB Master List - FY18 &amp; CY17'!$CM$236</f>
        <v>0</v>
      </c>
      <c r="G56" s="221">
        <f>'[10]CB Master List - FY18 &amp; CY17'!$CN$236</f>
        <v>0</v>
      </c>
      <c r="H56" s="118">
        <f>'[10]CB Master List - FY18 &amp; CY17'!$CO$236</f>
        <v>0</v>
      </c>
      <c r="I56" s="133">
        <v>0</v>
      </c>
      <c r="J56" s="118">
        <f>'[10]CB Master List - FY18 &amp; CY17'!$CQ$236</f>
        <v>0</v>
      </c>
      <c r="K56" s="141">
        <f t="shared" si="5"/>
        <v>0</v>
      </c>
    </row>
    <row r="57" spans="1:11" ht="18" customHeight="1" x14ac:dyDescent="0.2">
      <c r="A57" s="435" t="s">
        <v>96</v>
      </c>
      <c r="B57" s="491" t="s">
        <v>191</v>
      </c>
      <c r="C57" s="411"/>
      <c r="D57" s="412"/>
      <c r="F57" s="221">
        <f>'[10]CB Master List - FY18 &amp; CY17'!$CM$247</f>
        <v>0</v>
      </c>
      <c r="G57" s="221">
        <f>'[10]CB Master List - FY18 &amp; CY17'!$CN$247</f>
        <v>0</v>
      </c>
      <c r="H57" s="118">
        <f>'[10]CB Master List - FY18 &amp; CY17'!$CO$247</f>
        <v>206795</v>
      </c>
      <c r="I57" s="133">
        <v>0</v>
      </c>
      <c r="J57" s="118">
        <f>'[10]CB Master List - FY18 &amp; CY17'!$CQ$247</f>
        <v>0</v>
      </c>
      <c r="K57" s="141">
        <f t="shared" si="5"/>
        <v>206795</v>
      </c>
    </row>
    <row r="58" spans="1:11" ht="18" customHeight="1" x14ac:dyDescent="0.2">
      <c r="A58" s="435" t="s">
        <v>97</v>
      </c>
      <c r="B58" s="491"/>
      <c r="C58" s="411"/>
      <c r="D58" s="412"/>
      <c r="F58" s="221"/>
      <c r="G58" s="221"/>
      <c r="H58" s="118"/>
      <c r="I58" s="133">
        <v>0</v>
      </c>
      <c r="J58" s="118"/>
      <c r="K58" s="141">
        <f t="shared" si="5"/>
        <v>0</v>
      </c>
    </row>
    <row r="59" spans="1:11" ht="18" customHeight="1" x14ac:dyDescent="0.2">
      <c r="A59" s="435" t="s">
        <v>98</v>
      </c>
      <c r="B59" s="491"/>
      <c r="C59" s="411"/>
      <c r="D59" s="412"/>
      <c r="F59" s="221"/>
      <c r="G59" s="221"/>
      <c r="H59" s="118"/>
      <c r="I59" s="133">
        <v>0</v>
      </c>
      <c r="J59" s="118"/>
      <c r="K59" s="141">
        <f t="shared" si="5"/>
        <v>0</v>
      </c>
    </row>
    <row r="60" spans="1:11" ht="18" customHeight="1" x14ac:dyDescent="0.2">
      <c r="A60" s="435" t="s">
        <v>99</v>
      </c>
      <c r="B60" s="491"/>
      <c r="C60" s="411"/>
      <c r="D60" s="412"/>
      <c r="F60" s="221"/>
      <c r="G60" s="221"/>
      <c r="H60" s="118"/>
      <c r="I60" s="133">
        <v>0</v>
      </c>
      <c r="J60" s="118"/>
      <c r="K60" s="141">
        <f t="shared" si="5"/>
        <v>0</v>
      </c>
    </row>
    <row r="61" spans="1:11" ht="18" customHeight="1" x14ac:dyDescent="0.2">
      <c r="A61" s="435" t="s">
        <v>100</v>
      </c>
      <c r="B61" s="491"/>
      <c r="C61" s="411"/>
      <c r="D61" s="412"/>
      <c r="F61" s="221"/>
      <c r="G61" s="221"/>
      <c r="H61" s="118"/>
      <c r="I61" s="133">
        <v>0</v>
      </c>
      <c r="J61" s="118"/>
      <c r="K61" s="141">
        <f t="shared" si="5"/>
        <v>0</v>
      </c>
    </row>
    <row r="62" spans="1:11" ht="18" customHeight="1" x14ac:dyDescent="0.2">
      <c r="A62" s="435" t="s">
        <v>101</v>
      </c>
      <c r="B62" s="491"/>
      <c r="C62" s="411"/>
      <c r="D62" s="412"/>
      <c r="F62" s="221"/>
      <c r="G62" s="221"/>
      <c r="H62" s="118"/>
      <c r="I62" s="133">
        <v>0</v>
      </c>
      <c r="J62" s="118"/>
      <c r="K62" s="141">
        <f t="shared" si="5"/>
        <v>0</v>
      </c>
    </row>
    <row r="63" spans="1:11" ht="18" customHeight="1" x14ac:dyDescent="0.2">
      <c r="A63" s="435"/>
      <c r="I63" s="129"/>
    </row>
    <row r="64" spans="1:11" ht="18" customHeight="1" x14ac:dyDescent="0.2">
      <c r="A64" s="435" t="s">
        <v>144</v>
      </c>
      <c r="B64" s="421" t="s">
        <v>145</v>
      </c>
      <c r="E64" s="421" t="s">
        <v>7</v>
      </c>
      <c r="F64" s="221">
        <f t="shared" ref="F64:K64" si="6">SUM(F53:F62)</f>
        <v>0</v>
      </c>
      <c r="G64" s="221">
        <f t="shared" si="6"/>
        <v>0</v>
      </c>
      <c r="H64" s="118">
        <f t="shared" si="6"/>
        <v>245109.44</v>
      </c>
      <c r="I64" s="118">
        <f t="shared" si="6"/>
        <v>0</v>
      </c>
      <c r="J64" s="118">
        <f t="shared" si="6"/>
        <v>0</v>
      </c>
      <c r="K64" s="118">
        <f t="shared" si="6"/>
        <v>245109.44</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f>'[10]CB Master List - FY18 &amp; CY17'!$CM$265</f>
        <v>1056</v>
      </c>
      <c r="G68" s="122">
        <f>'[10]CB Master List - FY18 &amp; CY17'!$CN$265</f>
        <v>672</v>
      </c>
      <c r="H68" s="118">
        <f>'[10]CB Master List - FY18 &amp; CY17'!$CO$265</f>
        <v>34499.33</v>
      </c>
      <c r="I68" s="133">
        <v>0</v>
      </c>
      <c r="J68" s="118">
        <f>'[10]CB Master List - FY18 &amp; CY17'!$CQ$265</f>
        <v>0</v>
      </c>
      <c r="K68" s="118">
        <f>(H68+I68)-J68</f>
        <v>34499.33</v>
      </c>
    </row>
    <row r="69" spans="1:11" ht="18" customHeight="1" x14ac:dyDescent="0.2">
      <c r="A69" s="435" t="s">
        <v>104</v>
      </c>
      <c r="B69" s="419" t="s">
        <v>53</v>
      </c>
      <c r="F69" s="122">
        <f>'[10]CB Master List - FY18 &amp; CY17'!$CM$274</f>
        <v>0</v>
      </c>
      <c r="G69" s="122">
        <f>'[10]CB Master List - FY18 &amp; CY17'!$CN$274</f>
        <v>0</v>
      </c>
      <c r="H69" s="122">
        <f>'[10]CB Master List - FY18 &amp; CY17'!$CO$274</f>
        <v>0</v>
      </c>
      <c r="I69" s="133">
        <v>0</v>
      </c>
      <c r="J69" s="118">
        <f>'[10]CB Master List - FY18 &amp; CY17'!$CQ$274</f>
        <v>0</v>
      </c>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1056</v>
      </c>
      <c r="G74" s="122">
        <f t="shared" si="7"/>
        <v>672</v>
      </c>
      <c r="H74" s="118">
        <f t="shared" si="7"/>
        <v>34499.33</v>
      </c>
      <c r="I74" s="133">
        <f t="shared" si="7"/>
        <v>0</v>
      </c>
      <c r="J74" s="118">
        <f t="shared" si="7"/>
        <v>0</v>
      </c>
      <c r="K74" s="118">
        <f t="shared" si="7"/>
        <v>34499.33</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f>'[10]CB Master List - FY18 &amp; CY17'!$CM$296</f>
        <v>0</v>
      </c>
      <c r="G77" s="221">
        <f>'[10]CB Master List - FY18 &amp; CY17'!$CN$296</f>
        <v>0</v>
      </c>
      <c r="H77" s="118">
        <f>'[10]CB Master List - FY18 &amp; CY17'!$CO$296</f>
        <v>51637.2304</v>
      </c>
      <c r="I77" s="133">
        <v>0</v>
      </c>
      <c r="J77" s="118">
        <f>'[10]CB Master List - FY18 &amp; CY17'!$CQ$296</f>
        <v>0</v>
      </c>
      <c r="K77" s="118">
        <f>(H77+I77)-J77</f>
        <v>51637.2304</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51637.2304</v>
      </c>
      <c r="I82" s="118">
        <f t="shared" si="8"/>
        <v>0</v>
      </c>
      <c r="J82" s="118">
        <f t="shared" si="8"/>
        <v>0</v>
      </c>
      <c r="K82" s="118">
        <f t="shared" si="8"/>
        <v>51637.2304</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f>'[10]CB Master List - FY18 &amp; CY17'!$CM$336</f>
        <v>0</v>
      </c>
      <c r="G86" s="221">
        <f>'[10]CB Master List - FY18 &amp; CY17'!$CN$336</f>
        <v>0</v>
      </c>
      <c r="H86" s="118">
        <f>'[10]CB Master List - FY18 &amp; CY17'!$CO$336</f>
        <v>2937.4415010719736</v>
      </c>
      <c r="I86" s="133">
        <f t="shared" ref="I86:I96" si="9">H86*F$114</f>
        <v>2705.9750791806882</v>
      </c>
      <c r="J86" s="118">
        <f>'[10]CB Master List - FY18 &amp; CY17'!$CQ$336</f>
        <v>0</v>
      </c>
      <c r="K86" s="118">
        <f t="shared" ref="K86:K96" si="10">(H86+I86)-J86</f>
        <v>5643.4165802526622</v>
      </c>
    </row>
    <row r="87" spans="1:11" ht="18" customHeight="1" x14ac:dyDescent="0.2">
      <c r="A87" s="435" t="s">
        <v>114</v>
      </c>
      <c r="B87" s="419" t="s">
        <v>14</v>
      </c>
      <c r="F87" s="221">
        <f>'[10]CB Master List - FY18 &amp; CY17'!$CM$344</f>
        <v>0</v>
      </c>
      <c r="G87" s="221">
        <f>'[10]CB Master List - FY18 &amp; CY17'!$CN$344</f>
        <v>0</v>
      </c>
      <c r="H87" s="118">
        <f>'[10]CB Master List - FY18 &amp; CY17'!$CO$344</f>
        <v>0</v>
      </c>
      <c r="I87" s="133">
        <f t="shared" si="9"/>
        <v>0</v>
      </c>
      <c r="J87" s="118">
        <f>'[10]CB Master List - FY18 &amp; CY17'!$CQ$344</f>
        <v>0</v>
      </c>
      <c r="K87" s="118">
        <f t="shared" si="10"/>
        <v>0</v>
      </c>
    </row>
    <row r="88" spans="1:11" ht="18" customHeight="1" x14ac:dyDescent="0.2">
      <c r="A88" s="435" t="s">
        <v>115</v>
      </c>
      <c r="B88" s="419" t="s">
        <v>116</v>
      </c>
      <c r="F88" s="221">
        <f>'[10]CB Master List - FY18 &amp; CY17'!$CM$354</f>
        <v>309.60000000000002</v>
      </c>
      <c r="G88" s="221">
        <f>'[10]CB Master List - FY18 &amp; CY17'!$CN$354</f>
        <v>0</v>
      </c>
      <c r="H88" s="118">
        <f>'[10]CB Master List - FY18 &amp; CY17'!$CO$354</f>
        <v>13972.8</v>
      </c>
      <c r="I88" s="133">
        <f t="shared" si="9"/>
        <v>12871.762236823348</v>
      </c>
      <c r="J88" s="118">
        <f>'[10]CB Master List - FY18 &amp; CY17'!$CQ$354</f>
        <v>0</v>
      </c>
      <c r="K88" s="118">
        <f t="shared" si="10"/>
        <v>26844.562236823345</v>
      </c>
    </row>
    <row r="89" spans="1:11" ht="18" customHeight="1" x14ac:dyDescent="0.2">
      <c r="A89" s="435" t="s">
        <v>117</v>
      </c>
      <c r="B89" s="419" t="s">
        <v>58</v>
      </c>
      <c r="F89" s="221">
        <f>'[10]CB Master List - FY18 &amp; CY17'!$CM$362</f>
        <v>0</v>
      </c>
      <c r="G89" s="221">
        <f>'[10]CB Master List - FY18 &amp; CY17'!$CN$362</f>
        <v>0</v>
      </c>
      <c r="H89" s="118">
        <f>'[10]CB Master List - FY18 &amp; CY17'!$CO$362</f>
        <v>0</v>
      </c>
      <c r="I89" s="133">
        <f t="shared" si="9"/>
        <v>0</v>
      </c>
      <c r="J89" s="118">
        <f>'[10]CB Master List - FY18 &amp; CY17'!$CQ$362</f>
        <v>0</v>
      </c>
      <c r="K89" s="118">
        <f t="shared" si="10"/>
        <v>0</v>
      </c>
    </row>
    <row r="90" spans="1:11" ht="18" customHeight="1" x14ac:dyDescent="0.2">
      <c r="A90" s="435" t="s">
        <v>118</v>
      </c>
      <c r="B90" s="465" t="s">
        <v>59</v>
      </c>
      <c r="C90" s="466"/>
      <c r="F90" s="221">
        <f>'[10]CB Master List - FY18 &amp; CY17'!$CM$370</f>
        <v>0</v>
      </c>
      <c r="G90" s="221">
        <f>'[10]CB Master List - FY18 &amp; CY17'!$CN$370</f>
        <v>0</v>
      </c>
      <c r="H90" s="118">
        <f>'[10]CB Master List - FY18 &amp; CY17'!$CO$370</f>
        <v>0</v>
      </c>
      <c r="I90" s="133">
        <f t="shared" si="9"/>
        <v>0</v>
      </c>
      <c r="J90" s="118">
        <f>'[10]CB Master List - FY18 &amp; CY17'!$CQ$370</f>
        <v>0</v>
      </c>
      <c r="K90" s="118">
        <f t="shared" si="10"/>
        <v>0</v>
      </c>
    </row>
    <row r="91" spans="1:11" ht="18" customHeight="1" x14ac:dyDescent="0.2">
      <c r="A91" s="435" t="s">
        <v>119</v>
      </c>
      <c r="B91" s="419" t="s">
        <v>60</v>
      </c>
      <c r="F91" s="221">
        <f>'[10]CB Master List - FY18 &amp; CY17'!$CM$379</f>
        <v>96.416319999999999</v>
      </c>
      <c r="G91" s="221">
        <f>'[10]CB Master List - FY18 &amp; CY17'!$CN$379</f>
        <v>0</v>
      </c>
      <c r="H91" s="118">
        <f>'[10]CB Master List - FY18 &amp; CY17'!$CO$379</f>
        <v>6425.4851583999998</v>
      </c>
      <c r="I91" s="133">
        <f t="shared" si="9"/>
        <v>5919.1656085510422</v>
      </c>
      <c r="J91" s="118">
        <f>'[10]CB Master List - FY18 &amp; CY17'!$CQ$379</f>
        <v>0</v>
      </c>
      <c r="K91" s="118">
        <f t="shared" si="10"/>
        <v>12344.650766951043</v>
      </c>
    </row>
    <row r="92" spans="1:11" ht="18" customHeight="1" x14ac:dyDescent="0.2">
      <c r="A92" s="435" t="s">
        <v>120</v>
      </c>
      <c r="B92" s="419" t="s">
        <v>121</v>
      </c>
      <c r="F92" s="257">
        <f>'[10]CB Master List - FY18 &amp; CY17'!$CM$391</f>
        <v>22.960024698599518</v>
      </c>
      <c r="G92" s="257">
        <f>'[10]CB Master List - FY18 &amp; CY17'!$CN$391</f>
        <v>0</v>
      </c>
      <c r="H92" s="429">
        <f>'[10]CB Master List - FY18 &amp; CY17'!$CO$391</f>
        <v>63692.273119999998</v>
      </c>
      <c r="I92" s="133">
        <f t="shared" si="9"/>
        <v>58673.408044447409</v>
      </c>
      <c r="J92" s="429">
        <f>'[10]CB Master List - FY18 &amp; CY17'!$CQ$391</f>
        <v>0</v>
      </c>
      <c r="K92" s="118">
        <f t="shared" si="10"/>
        <v>122365.68116444741</v>
      </c>
    </row>
    <row r="93" spans="1:11" ht="18" customHeight="1" x14ac:dyDescent="0.2">
      <c r="A93" s="435" t="s">
        <v>122</v>
      </c>
      <c r="B93" s="419" t="s">
        <v>123</v>
      </c>
      <c r="F93" s="221">
        <f>'[10]CB Master List - FY18 &amp; CY17'!$CM$399</f>
        <v>0</v>
      </c>
      <c r="G93" s="221">
        <f>'[10]CB Master List - FY18 &amp; CY17'!$CN$399</f>
        <v>0</v>
      </c>
      <c r="H93" s="118">
        <f>'[10]CB Master List - FY18 &amp; CY17'!$CO$399</f>
        <v>0</v>
      </c>
      <c r="I93" s="133">
        <f t="shared" si="9"/>
        <v>0</v>
      </c>
      <c r="J93" s="118">
        <f>'[10]CB Master List - FY18 &amp; CY17'!$CQ$399</f>
        <v>0</v>
      </c>
      <c r="K93" s="118">
        <f t="shared" si="10"/>
        <v>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428.97634469859952</v>
      </c>
      <c r="G98" s="221">
        <f t="shared" si="11"/>
        <v>0</v>
      </c>
      <c r="H98" s="118">
        <f t="shared" si="11"/>
        <v>87027.999779471967</v>
      </c>
      <c r="I98" s="118">
        <f t="shared" si="11"/>
        <v>80170.310969002487</v>
      </c>
      <c r="J98" s="118">
        <f t="shared" si="11"/>
        <v>0</v>
      </c>
      <c r="K98" s="118">
        <f t="shared" si="11"/>
        <v>167198.31074847444</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f>'[10]CB Master List - FY18 &amp; CY17'!$CM$425</f>
        <v>579.99032</v>
      </c>
      <c r="G102" s="221">
        <f>'[10]CB Master List - FY18 &amp; CY17'!$CN$425</f>
        <v>0</v>
      </c>
      <c r="H102" s="118">
        <f>'[10]CB Master List - FY18 &amp; CY17'!$CO$425</f>
        <v>30365.925071199999</v>
      </c>
      <c r="I102" s="133">
        <f>H102*F$114</f>
        <v>27973.131199020918</v>
      </c>
      <c r="J102" s="118">
        <f>'[10]CB Master List - FY18 &amp; CY17'!$CQ$425</f>
        <v>0</v>
      </c>
      <c r="K102" s="118">
        <f>(H102+I102)-J102</f>
        <v>58339.056270220914</v>
      </c>
    </row>
    <row r="103" spans="1:11" ht="18" customHeight="1" x14ac:dyDescent="0.2">
      <c r="A103" s="435" t="s">
        <v>132</v>
      </c>
      <c r="B103" s="465" t="s">
        <v>62</v>
      </c>
      <c r="C103" s="465"/>
      <c r="F103" s="221">
        <f>'[10]CB Master List - FY18 &amp; CY17'!$CM$434</f>
        <v>0</v>
      </c>
      <c r="G103" s="221">
        <f>'[10]CB Master List - FY18 &amp; CY17'!$CN$434</f>
        <v>0</v>
      </c>
      <c r="H103" s="118">
        <f>'[10]CB Master List - FY18 &amp; CY17'!$CO$434</f>
        <v>0</v>
      </c>
      <c r="I103" s="133">
        <f>H103*F$114</f>
        <v>0</v>
      </c>
      <c r="J103" s="118">
        <f>'[10]CB Master List - FY18 &amp; CY17'!$CQ$434</f>
        <v>0</v>
      </c>
      <c r="K103" s="118">
        <f>(H103+I103)-J103</f>
        <v>0</v>
      </c>
    </row>
    <row r="104" spans="1:11" ht="18" customHeight="1" x14ac:dyDescent="0.2">
      <c r="A104" s="435" t="s">
        <v>128</v>
      </c>
      <c r="B104" s="418" t="s">
        <v>524</v>
      </c>
      <c r="C104" s="417"/>
      <c r="D104" s="412"/>
      <c r="F104" s="221">
        <f>'[10]CB Master List - FY18 &amp; CY17'!$CM$442</f>
        <v>260.84800000000001</v>
      </c>
      <c r="G104" s="221">
        <f>'[10]CB Master List - FY18 &amp; CY17'!$CN$442</f>
        <v>0</v>
      </c>
      <c r="H104" s="118">
        <f>'[10]CB Master List - FY18 &amp; CY17'!$CO$442</f>
        <v>12600.650272000001</v>
      </c>
      <c r="I104" s="133">
        <f>H104*F$114</f>
        <v>11607.73605365764</v>
      </c>
      <c r="J104" s="118">
        <f>'[10]CB Master List - FY18 &amp; CY17'!$CQ$442</f>
        <v>0</v>
      </c>
      <c r="K104" s="118">
        <f>(H104+I104)-J104</f>
        <v>24208.386325657641</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840.83832000000007</v>
      </c>
      <c r="G108" s="221">
        <f t="shared" si="12"/>
        <v>0</v>
      </c>
      <c r="H108" s="118">
        <f t="shared" si="12"/>
        <v>42966.575343199998</v>
      </c>
      <c r="I108" s="118">
        <f t="shared" si="12"/>
        <v>39580.867252678559</v>
      </c>
      <c r="J108" s="118">
        <f t="shared" si="12"/>
        <v>0</v>
      </c>
      <c r="K108" s="118">
        <f t="shared" si="12"/>
        <v>82547.442595878558</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926">
        <f>'[10]CB Master List - FY18 &amp; CY17'!$CR$458</f>
        <v>252630.39999999999</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f>'[10]CB Master List - FY18 &amp; CY17'!$CR$467</f>
        <v>0.92120135096926514</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f>'[11]Consolidating P&amp;L'!$AN$68</f>
        <v>47495719</v>
      </c>
    </row>
    <row r="118" spans="1:6" ht="18" customHeight="1" x14ac:dyDescent="0.2">
      <c r="A118" s="435" t="s">
        <v>173</v>
      </c>
      <c r="B118" s="259" t="s">
        <v>18</v>
      </c>
      <c r="F118" s="118">
        <f>'[11]Consolidating P&amp;L'!$AN$116</f>
        <v>3070951</v>
      </c>
    </row>
    <row r="119" spans="1:6" ht="18" customHeight="1" x14ac:dyDescent="0.2">
      <c r="A119" s="435" t="s">
        <v>174</v>
      </c>
      <c r="B119" s="421" t="s">
        <v>19</v>
      </c>
      <c r="F119" s="118">
        <f>SUM(F117:F118)</f>
        <v>50566670</v>
      </c>
    </row>
    <row r="120" spans="1:6" ht="18" customHeight="1" x14ac:dyDescent="0.2">
      <c r="A120" s="435"/>
      <c r="B120" s="421"/>
    </row>
    <row r="121" spans="1:6" ht="18" customHeight="1" x14ac:dyDescent="0.2">
      <c r="A121" s="435" t="s">
        <v>167</v>
      </c>
      <c r="B121" s="421" t="s">
        <v>36</v>
      </c>
      <c r="F121" s="118">
        <f>'[11]Consolidating P&amp;L'!$AN$471</f>
        <v>46858266</v>
      </c>
    </row>
    <row r="122" spans="1:6" ht="18" customHeight="1" x14ac:dyDescent="0.2">
      <c r="A122" s="435"/>
    </row>
    <row r="123" spans="1:6" ht="18" customHeight="1" x14ac:dyDescent="0.2">
      <c r="A123" s="435" t="s">
        <v>175</v>
      </c>
      <c r="B123" s="421" t="s">
        <v>20</v>
      </c>
      <c r="F123" s="118">
        <f>+F119-F121</f>
        <v>3708404</v>
      </c>
    </row>
    <row r="124" spans="1:6" ht="18" customHeight="1" x14ac:dyDescent="0.2">
      <c r="A124" s="435"/>
    </row>
    <row r="125" spans="1:6" ht="18" customHeight="1" x14ac:dyDescent="0.2">
      <c r="A125" s="435" t="s">
        <v>176</v>
      </c>
      <c r="B125" s="421" t="s">
        <v>21</v>
      </c>
      <c r="F125" s="118">
        <f>'[11]Consolidating P&amp;L'!$AN$491</f>
        <v>333411</v>
      </c>
    </row>
    <row r="126" spans="1:6" ht="18" customHeight="1" x14ac:dyDescent="0.2">
      <c r="A126" s="435"/>
    </row>
    <row r="127" spans="1:6" ht="18" customHeight="1" x14ac:dyDescent="0.2">
      <c r="A127" s="435" t="s">
        <v>177</v>
      </c>
      <c r="B127" s="421" t="s">
        <v>22</v>
      </c>
      <c r="F127" s="118">
        <f>+F123+F125</f>
        <v>4041815</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20060.447304745314</v>
      </c>
      <c r="G141" s="422">
        <f t="shared" si="14"/>
        <v>13135.280930313915</v>
      </c>
      <c r="H141" s="422">
        <f t="shared" si="14"/>
        <v>750243.45740232011</v>
      </c>
      <c r="I141" s="422">
        <f t="shared" si="14"/>
        <v>691125.28651486966</v>
      </c>
      <c r="J141" s="422">
        <f t="shared" si="14"/>
        <v>193216.8173008</v>
      </c>
      <c r="K141" s="422">
        <f t="shared" si="14"/>
        <v>1248151.9266163898</v>
      </c>
    </row>
    <row r="142" spans="1:11" ht="18" customHeight="1" x14ac:dyDescent="0.2">
      <c r="A142" s="435" t="s">
        <v>142</v>
      </c>
      <c r="B142" s="421" t="s">
        <v>65</v>
      </c>
      <c r="F142" s="422">
        <f t="shared" ref="F142:K142" si="15">F49</f>
        <v>12520.678311111111</v>
      </c>
      <c r="G142" s="422">
        <f t="shared" si="15"/>
        <v>2220.8000000000002</v>
      </c>
      <c r="H142" s="422">
        <f t="shared" si="15"/>
        <v>630058.65644480032</v>
      </c>
      <c r="I142" s="422">
        <f t="shared" si="15"/>
        <v>0</v>
      </c>
      <c r="J142" s="422">
        <f t="shared" si="15"/>
        <v>1119.8461120000002</v>
      </c>
      <c r="K142" s="422">
        <f t="shared" si="15"/>
        <v>628938.81033280026</v>
      </c>
    </row>
    <row r="143" spans="1:11" ht="18" customHeight="1" x14ac:dyDescent="0.2">
      <c r="A143" s="435" t="s">
        <v>144</v>
      </c>
      <c r="B143" s="421" t="s">
        <v>66</v>
      </c>
      <c r="F143" s="422">
        <f t="shared" ref="F143:K143" si="16">F64</f>
        <v>0</v>
      </c>
      <c r="G143" s="422">
        <f t="shared" si="16"/>
        <v>0</v>
      </c>
      <c r="H143" s="422">
        <f t="shared" si="16"/>
        <v>245109.44</v>
      </c>
      <c r="I143" s="422">
        <f t="shared" si="16"/>
        <v>0</v>
      </c>
      <c r="J143" s="422">
        <f t="shared" si="16"/>
        <v>0</v>
      </c>
      <c r="K143" s="422">
        <f t="shared" si="16"/>
        <v>245109.44</v>
      </c>
    </row>
    <row r="144" spans="1:11" ht="18" customHeight="1" x14ac:dyDescent="0.2">
      <c r="A144" s="435" t="s">
        <v>146</v>
      </c>
      <c r="B144" s="421" t="s">
        <v>67</v>
      </c>
      <c r="F144" s="422">
        <f t="shared" ref="F144:K144" si="17">F74</f>
        <v>1056</v>
      </c>
      <c r="G144" s="422">
        <f t="shared" si="17"/>
        <v>672</v>
      </c>
      <c r="H144" s="422">
        <f t="shared" si="17"/>
        <v>34499.33</v>
      </c>
      <c r="I144" s="422">
        <f t="shared" si="17"/>
        <v>0</v>
      </c>
      <c r="J144" s="422">
        <f t="shared" si="17"/>
        <v>0</v>
      </c>
      <c r="K144" s="422">
        <f t="shared" si="17"/>
        <v>34499.33</v>
      </c>
    </row>
    <row r="145" spans="1:11" ht="18" customHeight="1" x14ac:dyDescent="0.2">
      <c r="A145" s="435" t="s">
        <v>148</v>
      </c>
      <c r="B145" s="421" t="s">
        <v>68</v>
      </c>
      <c r="F145" s="422">
        <f t="shared" ref="F145:K145" si="18">F82</f>
        <v>0</v>
      </c>
      <c r="G145" s="422">
        <f t="shared" si="18"/>
        <v>0</v>
      </c>
      <c r="H145" s="422">
        <f t="shared" si="18"/>
        <v>51637.2304</v>
      </c>
      <c r="I145" s="422">
        <f t="shared" si="18"/>
        <v>0</v>
      </c>
      <c r="J145" s="422">
        <f t="shared" si="18"/>
        <v>0</v>
      </c>
      <c r="K145" s="422">
        <f t="shared" si="18"/>
        <v>51637.2304</v>
      </c>
    </row>
    <row r="146" spans="1:11" ht="18" customHeight="1" x14ac:dyDescent="0.2">
      <c r="A146" s="435" t="s">
        <v>150</v>
      </c>
      <c r="B146" s="421" t="s">
        <v>69</v>
      </c>
      <c r="F146" s="422">
        <f t="shared" ref="F146:K146" si="19">F98</f>
        <v>428.97634469859952</v>
      </c>
      <c r="G146" s="422">
        <f t="shared" si="19"/>
        <v>0</v>
      </c>
      <c r="H146" s="422">
        <f t="shared" si="19"/>
        <v>87027.999779471967</v>
      </c>
      <c r="I146" s="422">
        <f t="shared" si="19"/>
        <v>80170.310969002487</v>
      </c>
      <c r="J146" s="422">
        <f t="shared" si="19"/>
        <v>0</v>
      </c>
      <c r="K146" s="422">
        <f t="shared" si="19"/>
        <v>167198.31074847444</v>
      </c>
    </row>
    <row r="147" spans="1:11" ht="18" customHeight="1" x14ac:dyDescent="0.2">
      <c r="A147" s="435" t="s">
        <v>153</v>
      </c>
      <c r="B147" s="421" t="s">
        <v>61</v>
      </c>
      <c r="F147" s="221">
        <f t="shared" ref="F147:K147" si="20">F108</f>
        <v>840.83832000000007</v>
      </c>
      <c r="G147" s="221">
        <f t="shared" si="20"/>
        <v>0</v>
      </c>
      <c r="H147" s="221">
        <f t="shared" si="20"/>
        <v>42966.575343199998</v>
      </c>
      <c r="I147" s="221">
        <f t="shared" si="20"/>
        <v>39580.867252678559</v>
      </c>
      <c r="J147" s="221">
        <f t="shared" si="20"/>
        <v>0</v>
      </c>
      <c r="K147" s="221">
        <f t="shared" si="20"/>
        <v>82547.442595878558</v>
      </c>
    </row>
    <row r="148" spans="1:11" ht="18" customHeight="1" x14ac:dyDescent="0.2">
      <c r="A148" s="435" t="s">
        <v>155</v>
      </c>
      <c r="B148" s="421" t="s">
        <v>70</v>
      </c>
      <c r="F148" s="485" t="s">
        <v>73</v>
      </c>
      <c r="G148" s="485" t="s">
        <v>73</v>
      </c>
      <c r="H148" s="486" t="s">
        <v>73</v>
      </c>
      <c r="I148" s="486" t="s">
        <v>73</v>
      </c>
      <c r="J148" s="486" t="s">
        <v>73</v>
      </c>
      <c r="K148" s="423">
        <f>F111</f>
        <v>252630.39999999999</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0</v>
      </c>
      <c r="I150" s="221">
        <f>I18</f>
        <v>0</v>
      </c>
      <c r="J150" s="221">
        <f>J18</f>
        <v>0</v>
      </c>
      <c r="K150" s="221">
        <f>K18</f>
        <v>0</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34906.94028055502</v>
      </c>
      <c r="G152" s="487">
        <f t="shared" si="22"/>
        <v>16028.080930313914</v>
      </c>
      <c r="H152" s="487">
        <f t="shared" si="22"/>
        <v>1841542.6893697924</v>
      </c>
      <c r="I152" s="487">
        <f t="shared" si="22"/>
        <v>810876.46473655081</v>
      </c>
      <c r="J152" s="487">
        <f t="shared" si="22"/>
        <v>194336.6634128</v>
      </c>
      <c r="K152" s="487">
        <f t="shared" si="22"/>
        <v>2710712.890693543</v>
      </c>
    </row>
    <row r="154" spans="1:11" ht="18" customHeight="1" x14ac:dyDescent="0.2">
      <c r="A154" s="455" t="s">
        <v>168</v>
      </c>
      <c r="B154" s="421" t="s">
        <v>28</v>
      </c>
      <c r="F154" s="140">
        <f>K152/F121</f>
        <v>5.7849193367367518E-2</v>
      </c>
    </row>
    <row r="155" spans="1:11" ht="18" customHeight="1" x14ac:dyDescent="0.2">
      <c r="A155" s="455" t="s">
        <v>169</v>
      </c>
      <c r="B155" s="421" t="s">
        <v>72</v>
      </c>
      <c r="F155" s="140">
        <f>K152/F127</f>
        <v>0.67066723506482684</v>
      </c>
      <c r="G155" s="421"/>
    </row>
    <row r="156" spans="1:11" ht="18" customHeight="1" x14ac:dyDescent="0.2">
      <c r="G156" s="421"/>
    </row>
  </sheetData>
  <sheetProtection algorithmName="SHA-512" hashValue="kyuN3ve/AqVYM2hiVpIoYv4IPsy1T5E2TTllSJkZu+pWuXLcc5IRCDH4RiLBvIGliZZYHpX1uYeqGXPAZeMQxw==" saltValue="69wn2hm5QL268EA/GXc27g==" spinCount="100000" sheet="1" objects="1" scenarios="1"/>
  <mergeCells count="38">
    <mergeCell ref="D2:H2"/>
    <mergeCell ref="B46:D46"/>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B13:H13"/>
    <mergeCell ref="C5:G5"/>
    <mergeCell ref="C6:G6"/>
    <mergeCell ref="C7:G7"/>
    <mergeCell ref="C11:G11"/>
    <mergeCell ref="C9:G9"/>
    <mergeCell ref="C10:G10"/>
    <mergeCell ref="B30:D30"/>
    <mergeCell ref="B54:D54"/>
    <mergeCell ref="B58:D58"/>
    <mergeCell ref="B60:D60"/>
    <mergeCell ref="B61:D61"/>
    <mergeCell ref="B45:D45"/>
    <mergeCell ref="B47:D47"/>
    <mergeCell ref="B34:D34"/>
    <mergeCell ref="B41:C41"/>
    <mergeCell ref="B44:D44"/>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L156"/>
  <sheetViews>
    <sheetView showGridLines="0" zoomScaleNormal="100" zoomScaleSheetLayoutView="8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6.7109375" style="259" customWidth="1"/>
    <col min="12" max="12" width="10.7109375" style="259" customWidth="1"/>
    <col min="13"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592</v>
      </c>
      <c r="D5" s="437"/>
      <c r="E5" s="437"/>
      <c r="F5" s="437"/>
      <c r="G5" s="438"/>
    </row>
    <row r="6" spans="1:11" ht="18" customHeight="1" x14ac:dyDescent="0.2">
      <c r="B6" s="435" t="s">
        <v>3</v>
      </c>
      <c r="C6" s="439">
        <v>4000</v>
      </c>
      <c r="D6" s="440"/>
      <c r="E6" s="440"/>
      <c r="F6" s="440"/>
      <c r="G6" s="441"/>
    </row>
    <row r="7" spans="1:11" ht="18" customHeight="1" x14ac:dyDescent="0.2">
      <c r="B7" s="435" t="s">
        <v>4</v>
      </c>
      <c r="C7" s="492">
        <v>2782</v>
      </c>
      <c r="D7" s="493"/>
      <c r="E7" s="493"/>
      <c r="F7" s="493"/>
      <c r="G7" s="494"/>
    </row>
    <row r="9" spans="1:11" ht="18" customHeight="1" x14ac:dyDescent="0.2">
      <c r="B9" s="435" t="s">
        <v>1</v>
      </c>
      <c r="C9" s="436" t="s">
        <v>718</v>
      </c>
      <c r="D9" s="437"/>
      <c r="E9" s="437"/>
      <c r="F9" s="437"/>
      <c r="G9" s="438"/>
    </row>
    <row r="10" spans="1:11" ht="18" customHeight="1" x14ac:dyDescent="0.2">
      <c r="B10" s="435" t="s">
        <v>2</v>
      </c>
      <c r="C10" s="445" t="s">
        <v>719</v>
      </c>
      <c r="D10" s="446"/>
      <c r="E10" s="446"/>
      <c r="F10" s="446"/>
      <c r="G10" s="447"/>
    </row>
    <row r="11" spans="1:11" ht="18" customHeight="1" x14ac:dyDescent="0.2">
      <c r="B11" s="435" t="s">
        <v>32</v>
      </c>
      <c r="C11" s="634" t="s">
        <v>720</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c r="I18" s="133">
        <v>0</v>
      </c>
      <c r="J18" s="118"/>
      <c r="K18" s="118">
        <f>(H18+I18)-J18</f>
        <v>0</v>
      </c>
    </row>
    <row r="19" spans="1:11" ht="45" customHeight="1" x14ac:dyDescent="0.2">
      <c r="A19" s="927" t="s">
        <v>8</v>
      </c>
      <c r="B19" s="703"/>
      <c r="C19" s="703"/>
      <c r="D19" s="703"/>
      <c r="E19" s="703"/>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216</v>
      </c>
      <c r="G21" s="221">
        <v>31183</v>
      </c>
      <c r="H21" s="118">
        <v>17808.03</v>
      </c>
      <c r="I21" s="133">
        <f t="shared" ref="I21:I34" si="0">H21*F$114</f>
        <v>12545.757135</v>
      </c>
      <c r="J21" s="118"/>
      <c r="K21" s="118">
        <f t="shared" ref="K21:K34" si="1">(H21+I21)-J21</f>
        <v>30353.787134999999</v>
      </c>
    </row>
    <row r="22" spans="1:11" ht="18" customHeight="1" x14ac:dyDescent="0.2">
      <c r="A22" s="435" t="s">
        <v>76</v>
      </c>
      <c r="B22" s="259" t="s">
        <v>6</v>
      </c>
      <c r="F22" s="221"/>
      <c r="G22" s="221"/>
      <c r="H22" s="118"/>
      <c r="I22" s="133">
        <f t="shared" si="0"/>
        <v>0</v>
      </c>
      <c r="J22" s="118"/>
      <c r="K22" s="118">
        <f t="shared" si="1"/>
        <v>0</v>
      </c>
    </row>
    <row r="23" spans="1:11" ht="18" customHeight="1" x14ac:dyDescent="0.2">
      <c r="A23" s="435" t="s">
        <v>77</v>
      </c>
      <c r="B23" s="259" t="s">
        <v>43</v>
      </c>
      <c r="F23" s="221"/>
      <c r="G23" s="221"/>
      <c r="H23" s="118"/>
      <c r="I23" s="133">
        <f t="shared" si="0"/>
        <v>0</v>
      </c>
      <c r="J23" s="118"/>
      <c r="K23" s="118">
        <f t="shared" si="1"/>
        <v>0</v>
      </c>
    </row>
    <row r="24" spans="1:11" ht="18" customHeight="1" x14ac:dyDescent="0.2">
      <c r="A24" s="435" t="s">
        <v>78</v>
      </c>
      <c r="B24" s="259" t="s">
        <v>44</v>
      </c>
      <c r="F24" s="221"/>
      <c r="G24" s="221"/>
      <c r="H24" s="118"/>
      <c r="I24" s="133">
        <f t="shared" si="0"/>
        <v>0</v>
      </c>
      <c r="J24" s="118"/>
      <c r="K24" s="118">
        <f t="shared" si="1"/>
        <v>0</v>
      </c>
    </row>
    <row r="25" spans="1:11" ht="18" customHeight="1" x14ac:dyDescent="0.2">
      <c r="A25" s="435" t="s">
        <v>79</v>
      </c>
      <c r="B25" s="259" t="s">
        <v>5</v>
      </c>
      <c r="F25" s="221"/>
      <c r="G25" s="221"/>
      <c r="H25" s="118"/>
      <c r="I25" s="133">
        <f t="shared" si="0"/>
        <v>0</v>
      </c>
      <c r="J25" s="118"/>
      <c r="K25" s="118">
        <f t="shared" si="1"/>
        <v>0</v>
      </c>
    </row>
    <row r="26" spans="1:11" ht="18" customHeight="1" x14ac:dyDescent="0.2">
      <c r="A26" s="435" t="s">
        <v>80</v>
      </c>
      <c r="B26" s="259" t="s">
        <v>45</v>
      </c>
      <c r="F26" s="221"/>
      <c r="G26" s="221"/>
      <c r="H26" s="118"/>
      <c r="I26" s="133">
        <f t="shared" si="0"/>
        <v>0</v>
      </c>
      <c r="J26" s="118"/>
      <c r="K26" s="118">
        <f t="shared" si="1"/>
        <v>0</v>
      </c>
    </row>
    <row r="27" spans="1:11" ht="18" customHeight="1" x14ac:dyDescent="0.2">
      <c r="A27" s="435" t="s">
        <v>81</v>
      </c>
      <c r="B27" s="259" t="s">
        <v>536</v>
      </c>
      <c r="F27" s="221">
        <v>2108</v>
      </c>
      <c r="G27" s="221">
        <v>2909</v>
      </c>
      <c r="H27" s="118">
        <v>59593.87</v>
      </c>
      <c r="I27" s="133">
        <f t="shared" si="0"/>
        <v>41983.881415000003</v>
      </c>
      <c r="J27" s="118">
        <v>18241.75</v>
      </c>
      <c r="K27" s="118">
        <f t="shared" si="1"/>
        <v>83336.001415000006</v>
      </c>
    </row>
    <row r="28" spans="1:11" ht="18" customHeight="1" x14ac:dyDescent="0.2">
      <c r="A28" s="435" t="s">
        <v>82</v>
      </c>
      <c r="B28" s="259" t="s">
        <v>47</v>
      </c>
      <c r="F28" s="221"/>
      <c r="G28" s="221"/>
      <c r="H28" s="118"/>
      <c r="I28" s="133">
        <f t="shared" si="0"/>
        <v>0</v>
      </c>
      <c r="J28" s="118"/>
      <c r="K28" s="118">
        <f t="shared" si="1"/>
        <v>0</v>
      </c>
    </row>
    <row r="29" spans="1:11" ht="18" customHeight="1" x14ac:dyDescent="0.2">
      <c r="A29" s="435" t="s">
        <v>83</v>
      </c>
      <c r="B29" s="259" t="s">
        <v>48</v>
      </c>
      <c r="F29" s="221"/>
      <c r="G29" s="221"/>
      <c r="H29" s="118"/>
      <c r="I29" s="133">
        <f t="shared" si="0"/>
        <v>0</v>
      </c>
      <c r="J29" s="118"/>
      <c r="K29" s="118">
        <f t="shared" si="1"/>
        <v>0</v>
      </c>
    </row>
    <row r="30" spans="1:11" ht="18" customHeight="1" x14ac:dyDescent="0.2">
      <c r="A30" s="435" t="s">
        <v>84</v>
      </c>
      <c r="B30" s="459" t="s">
        <v>464</v>
      </c>
      <c r="C30" s="460"/>
      <c r="D30" s="461"/>
      <c r="F30" s="221">
        <v>470</v>
      </c>
      <c r="G30" s="221">
        <v>4702</v>
      </c>
      <c r="H30" s="118">
        <v>78923.070000000007</v>
      </c>
      <c r="I30" s="133">
        <f t="shared" si="0"/>
        <v>55601.302815000003</v>
      </c>
      <c r="J30" s="118"/>
      <c r="K30" s="118">
        <f t="shared" si="1"/>
        <v>134524.37281500001</v>
      </c>
    </row>
    <row r="31" spans="1:11" ht="18" customHeight="1" x14ac:dyDescent="0.2">
      <c r="A31" s="435" t="s">
        <v>133</v>
      </c>
      <c r="B31" s="459" t="s">
        <v>463</v>
      </c>
      <c r="C31" s="460"/>
      <c r="D31" s="461"/>
      <c r="F31" s="221">
        <v>18436</v>
      </c>
      <c r="G31" s="221">
        <v>6272</v>
      </c>
      <c r="H31" s="118">
        <v>778231.48</v>
      </c>
      <c r="I31" s="133">
        <f t="shared" si="0"/>
        <v>548264.07765999995</v>
      </c>
      <c r="J31" s="118"/>
      <c r="K31" s="118">
        <f t="shared" si="1"/>
        <v>1326495.5576599999</v>
      </c>
    </row>
    <row r="32" spans="1:11" ht="18" customHeight="1" x14ac:dyDescent="0.2">
      <c r="A32" s="435" t="s">
        <v>134</v>
      </c>
      <c r="B32" s="459" t="s">
        <v>462</v>
      </c>
      <c r="C32" s="460"/>
      <c r="D32" s="461"/>
      <c r="F32" s="221">
        <v>2130</v>
      </c>
      <c r="G32" s="255">
        <v>225</v>
      </c>
      <c r="H32" s="118">
        <v>59545.98</v>
      </c>
      <c r="I32" s="133">
        <f t="shared" si="0"/>
        <v>41950.142910000002</v>
      </c>
      <c r="J32" s="118"/>
      <c r="K32" s="118">
        <f t="shared" si="1"/>
        <v>101496.12291000001</v>
      </c>
    </row>
    <row r="33" spans="1:11" ht="18" customHeight="1" x14ac:dyDescent="0.2">
      <c r="A33" s="435" t="s">
        <v>135</v>
      </c>
      <c r="B33" s="459" t="s">
        <v>721</v>
      </c>
      <c r="C33" s="460"/>
      <c r="D33" s="461"/>
      <c r="F33" s="221">
        <v>3193</v>
      </c>
      <c r="G33" s="255">
        <v>2069</v>
      </c>
      <c r="H33" s="118">
        <v>122758.29</v>
      </c>
      <c r="I33" s="133">
        <v>61184.21</v>
      </c>
      <c r="J33" s="118">
        <v>80000</v>
      </c>
      <c r="K33" s="118">
        <f t="shared" si="1"/>
        <v>103942.5</v>
      </c>
    </row>
    <row r="34" spans="1:11" ht="18" customHeight="1" x14ac:dyDescent="0.2">
      <c r="A34" s="435" t="s">
        <v>136</v>
      </c>
      <c r="B34" s="459"/>
      <c r="C34" s="460"/>
      <c r="D34" s="461"/>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26553</v>
      </c>
      <c r="G36" s="221">
        <f t="shared" si="2"/>
        <v>47360</v>
      </c>
      <c r="H36" s="221">
        <f t="shared" si="2"/>
        <v>1116860.72</v>
      </c>
      <c r="I36" s="118">
        <f t="shared" si="2"/>
        <v>761529.37193499994</v>
      </c>
      <c r="J36" s="118">
        <f t="shared" si="2"/>
        <v>98241.75</v>
      </c>
      <c r="K36" s="118">
        <f t="shared" si="2"/>
        <v>1780148.3419349999</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3983</v>
      </c>
      <c r="G40" s="221"/>
      <c r="H40" s="118">
        <v>365855.57</v>
      </c>
      <c r="I40" s="133">
        <f t="shared" ref="I40:I46" si="3">H40*F$114</f>
        <v>257745.24906500001</v>
      </c>
      <c r="J40" s="118"/>
      <c r="K40" s="118">
        <f t="shared" ref="K40:K47" si="4">(H40+I40)-J40</f>
        <v>623600.81906500005</v>
      </c>
    </row>
    <row r="41" spans="1:11" ht="18" customHeight="1" x14ac:dyDescent="0.2">
      <c r="A41" s="435" t="s">
        <v>88</v>
      </c>
      <c r="B41" s="928" t="s">
        <v>50</v>
      </c>
      <c r="C41" s="929"/>
      <c r="F41" s="221">
        <v>85</v>
      </c>
      <c r="G41" s="221">
        <v>323</v>
      </c>
      <c r="H41" s="118">
        <v>2223.7600000000002</v>
      </c>
      <c r="I41" s="133">
        <f t="shared" si="3"/>
        <v>1566.6389200000001</v>
      </c>
      <c r="J41" s="118"/>
      <c r="K41" s="118">
        <f t="shared" si="4"/>
        <v>3790.3989200000005</v>
      </c>
    </row>
    <row r="42" spans="1:11" ht="18" customHeight="1" x14ac:dyDescent="0.2">
      <c r="A42" s="435" t="s">
        <v>89</v>
      </c>
      <c r="B42" s="419" t="s">
        <v>11</v>
      </c>
      <c r="F42" s="221">
        <v>4064</v>
      </c>
      <c r="G42" s="221">
        <v>307</v>
      </c>
      <c r="H42" s="118">
        <v>173543.51</v>
      </c>
      <c r="I42" s="133">
        <f t="shared" si="3"/>
        <v>122261.40279500002</v>
      </c>
      <c r="J42" s="118"/>
      <c r="K42" s="118">
        <f t="shared" si="4"/>
        <v>295804.91279500001</v>
      </c>
    </row>
    <row r="43" spans="1:11" ht="18" customHeight="1" x14ac:dyDescent="0.2">
      <c r="A43" s="435" t="s">
        <v>90</v>
      </c>
      <c r="B43" s="467" t="s">
        <v>10</v>
      </c>
      <c r="C43" s="468"/>
      <c r="D43" s="468"/>
      <c r="F43" s="221"/>
      <c r="G43" s="221"/>
      <c r="H43" s="118"/>
      <c r="I43" s="133">
        <v>0</v>
      </c>
      <c r="J43" s="118"/>
      <c r="K43" s="118">
        <f t="shared" si="4"/>
        <v>0</v>
      </c>
    </row>
    <row r="44" spans="1:11" ht="18" customHeight="1" x14ac:dyDescent="0.2">
      <c r="A44" s="435" t="s">
        <v>91</v>
      </c>
      <c r="B44" s="459" t="s">
        <v>465</v>
      </c>
      <c r="C44" s="460"/>
      <c r="D44" s="461"/>
      <c r="F44" s="407">
        <v>1274</v>
      </c>
      <c r="G44" s="407">
        <v>3181</v>
      </c>
      <c r="H44" s="930">
        <v>43822</v>
      </c>
      <c r="I44" s="133">
        <f t="shared" si="3"/>
        <v>30872.599000000002</v>
      </c>
      <c r="J44" s="407"/>
      <c r="K44" s="134">
        <f t="shared" si="4"/>
        <v>74694.599000000002</v>
      </c>
    </row>
    <row r="45" spans="1:11" ht="18" customHeight="1" x14ac:dyDescent="0.2">
      <c r="A45" s="435" t="s">
        <v>139</v>
      </c>
      <c r="B45" s="459" t="s">
        <v>593</v>
      </c>
      <c r="C45" s="460"/>
      <c r="D45" s="461"/>
      <c r="F45" s="221">
        <v>41602</v>
      </c>
      <c r="G45" s="221">
        <v>6706</v>
      </c>
      <c r="H45" s="118">
        <v>2291465.42</v>
      </c>
      <c r="I45" s="133">
        <v>0</v>
      </c>
      <c r="J45" s="118">
        <v>2283876.5499999998</v>
      </c>
      <c r="K45" s="118">
        <f t="shared" si="4"/>
        <v>7588.8700000001118</v>
      </c>
    </row>
    <row r="46" spans="1:11" ht="18" customHeight="1" x14ac:dyDescent="0.2">
      <c r="A46" s="435" t="s">
        <v>140</v>
      </c>
      <c r="B46" s="459" t="s">
        <v>594</v>
      </c>
      <c r="C46" s="460"/>
      <c r="D46" s="461"/>
      <c r="F46" s="221">
        <v>252</v>
      </c>
      <c r="G46" s="221">
        <v>1000</v>
      </c>
      <c r="H46" s="118">
        <v>43034.14</v>
      </c>
      <c r="I46" s="133">
        <f t="shared" si="3"/>
        <v>30317.551630000002</v>
      </c>
      <c r="J46" s="118">
        <v>63239.08</v>
      </c>
      <c r="K46" s="118">
        <f t="shared" si="4"/>
        <v>10112.611629999999</v>
      </c>
    </row>
    <row r="47" spans="1:11" ht="18" customHeight="1" x14ac:dyDescent="0.2">
      <c r="A47" s="435" t="s">
        <v>141</v>
      </c>
      <c r="B47" s="459"/>
      <c r="C47" s="460"/>
      <c r="D47" s="461"/>
      <c r="F47" s="221"/>
      <c r="G47" s="221"/>
      <c r="H47" s="118"/>
      <c r="I47" s="133">
        <v>0</v>
      </c>
      <c r="J47" s="118"/>
      <c r="K47" s="118">
        <f t="shared" si="4"/>
        <v>0</v>
      </c>
    </row>
    <row r="49" spans="1:11" ht="18" customHeight="1" x14ac:dyDescent="0.2">
      <c r="A49" s="455" t="s">
        <v>142</v>
      </c>
      <c r="B49" s="421" t="s">
        <v>143</v>
      </c>
      <c r="E49" s="421" t="s">
        <v>7</v>
      </c>
      <c r="F49" s="409">
        <f t="shared" ref="F49:K49" si="5">SUM(F40:F47)</f>
        <v>51260</v>
      </c>
      <c r="G49" s="409">
        <f t="shared" si="5"/>
        <v>11517</v>
      </c>
      <c r="H49" s="118">
        <f t="shared" si="5"/>
        <v>2919944.4</v>
      </c>
      <c r="I49" s="118">
        <f t="shared" si="5"/>
        <v>442763.44141000003</v>
      </c>
      <c r="J49" s="118">
        <f t="shared" si="5"/>
        <v>2347115.63</v>
      </c>
      <c r="K49" s="118">
        <f t="shared" si="5"/>
        <v>1015592.2114100002</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931" t="s">
        <v>38</v>
      </c>
      <c r="C52" s="932"/>
    </row>
    <row r="53" spans="1:11" ht="18" customHeight="1" x14ac:dyDescent="0.2">
      <c r="A53" s="435" t="s">
        <v>51</v>
      </c>
      <c r="B53" s="933" t="s">
        <v>353</v>
      </c>
      <c r="C53" s="934"/>
      <c r="D53" s="935"/>
      <c r="F53" s="221">
        <v>2238</v>
      </c>
      <c r="G53" s="221">
        <v>2101</v>
      </c>
      <c r="H53" s="118">
        <v>269436.15999999997</v>
      </c>
      <c r="I53" s="133">
        <f t="shared" ref="I53" si="6">H53*F$114</f>
        <v>189817.77471999999</v>
      </c>
      <c r="J53" s="118">
        <v>469540.22</v>
      </c>
      <c r="K53" s="141">
        <f>H53+I53-J53</f>
        <v>-10286.285280000011</v>
      </c>
    </row>
    <row r="54" spans="1:11" ht="18" customHeight="1" x14ac:dyDescent="0.2">
      <c r="A54" s="435" t="s">
        <v>93</v>
      </c>
      <c r="B54" s="936" t="s">
        <v>722</v>
      </c>
      <c r="C54" s="937"/>
      <c r="D54" s="938"/>
      <c r="F54" s="221">
        <v>15726</v>
      </c>
      <c r="G54" s="221">
        <v>6043</v>
      </c>
      <c r="H54" s="118">
        <v>746967.42</v>
      </c>
      <c r="I54" s="133">
        <v>75611.75</v>
      </c>
      <c r="J54" s="118">
        <v>664376.78</v>
      </c>
      <c r="K54" s="141">
        <f t="shared" ref="K54:K62" si="7">H54+I54-J54</f>
        <v>158202.39000000001</v>
      </c>
    </row>
    <row r="55" spans="1:11" ht="18" customHeight="1" x14ac:dyDescent="0.2">
      <c r="A55" s="435" t="s">
        <v>94</v>
      </c>
      <c r="B55" s="936" t="s">
        <v>355</v>
      </c>
      <c r="C55" s="939"/>
      <c r="D55" s="935"/>
      <c r="F55" s="221">
        <v>9704</v>
      </c>
      <c r="G55" s="221">
        <v>11818</v>
      </c>
      <c r="H55" s="118">
        <v>259702.47</v>
      </c>
      <c r="I55" s="133">
        <f t="shared" ref="I55:I57" si="8">H55*F$114</f>
        <v>182960.39011500002</v>
      </c>
      <c r="J55" s="118">
        <v>0</v>
      </c>
      <c r="K55" s="141">
        <f t="shared" si="7"/>
        <v>442662.86011500005</v>
      </c>
    </row>
    <row r="56" spans="1:11" ht="18" customHeight="1" x14ac:dyDescent="0.2">
      <c r="A56" s="435" t="s">
        <v>95</v>
      </c>
      <c r="B56" s="936" t="s">
        <v>356</v>
      </c>
      <c r="C56" s="939"/>
      <c r="D56" s="935"/>
      <c r="F56" s="221">
        <v>6606</v>
      </c>
      <c r="G56" s="221">
        <v>4570</v>
      </c>
      <c r="H56" s="940">
        <v>451253.1</v>
      </c>
      <c r="I56" s="133">
        <f t="shared" si="8"/>
        <v>317907.80894999998</v>
      </c>
      <c r="J56" s="118">
        <v>445445.04</v>
      </c>
      <c r="K56" s="141">
        <f t="shared" si="7"/>
        <v>323715.86894999997</v>
      </c>
    </row>
    <row r="57" spans="1:11" ht="18" customHeight="1" x14ac:dyDescent="0.2">
      <c r="A57" s="435" t="s">
        <v>96</v>
      </c>
      <c r="B57" s="936" t="s">
        <v>466</v>
      </c>
      <c r="C57" s="939"/>
      <c r="D57" s="935"/>
      <c r="F57" s="221">
        <v>5857</v>
      </c>
      <c r="G57" s="221">
        <v>1449</v>
      </c>
      <c r="H57" s="118">
        <v>272802.48</v>
      </c>
      <c r="I57" s="133">
        <f t="shared" si="8"/>
        <v>192189.34716</v>
      </c>
      <c r="J57" s="118">
        <v>251208.46</v>
      </c>
      <c r="K57" s="141">
        <f t="shared" si="7"/>
        <v>213783.36715999999</v>
      </c>
    </row>
    <row r="58" spans="1:11" ht="18" customHeight="1" x14ac:dyDescent="0.2">
      <c r="A58" s="435" t="s">
        <v>97</v>
      </c>
      <c r="B58" s="936" t="s">
        <v>354</v>
      </c>
      <c r="C58" s="937"/>
      <c r="D58" s="938"/>
      <c r="F58" s="221"/>
      <c r="G58" s="221"/>
      <c r="H58" s="118">
        <v>3783138.93</v>
      </c>
      <c r="I58" s="133">
        <v>0</v>
      </c>
      <c r="J58" s="118"/>
      <c r="K58" s="141">
        <f t="shared" si="7"/>
        <v>3783138.93</v>
      </c>
    </row>
    <row r="59" spans="1:11" ht="18" customHeight="1" x14ac:dyDescent="0.2">
      <c r="A59" s="435" t="s">
        <v>98</v>
      </c>
      <c r="B59" s="418" t="s">
        <v>526</v>
      </c>
      <c r="C59" s="417"/>
      <c r="D59" s="412"/>
      <c r="F59" s="221">
        <v>1428</v>
      </c>
      <c r="G59" s="221">
        <v>715</v>
      </c>
      <c r="H59" s="118">
        <v>230448</v>
      </c>
      <c r="I59" s="133">
        <f t="shared" ref="I59:I61" si="9">H59*F$114</f>
        <v>162350.61600000001</v>
      </c>
      <c r="J59" s="118">
        <v>80886.92</v>
      </c>
      <c r="K59" s="141">
        <f t="shared" si="7"/>
        <v>311911.69600000005</v>
      </c>
    </row>
    <row r="60" spans="1:11" ht="18" customHeight="1" x14ac:dyDescent="0.2">
      <c r="A60" s="435" t="s">
        <v>99</v>
      </c>
      <c r="B60" s="418" t="s">
        <v>595</v>
      </c>
      <c r="C60" s="571"/>
      <c r="D60" s="572"/>
      <c r="F60" s="221">
        <v>13253</v>
      </c>
      <c r="G60" s="221">
        <v>104</v>
      </c>
      <c r="H60" s="118">
        <v>789566</v>
      </c>
      <c r="I60" s="133">
        <f t="shared" si="9"/>
        <v>556249.24699999997</v>
      </c>
      <c r="J60" s="118">
        <v>101172.53</v>
      </c>
      <c r="K60" s="141">
        <f t="shared" si="7"/>
        <v>1244642.7169999999</v>
      </c>
    </row>
    <row r="61" spans="1:11" ht="18" customHeight="1" x14ac:dyDescent="0.2">
      <c r="A61" s="435" t="s">
        <v>100</v>
      </c>
      <c r="B61" s="418" t="s">
        <v>596</v>
      </c>
      <c r="C61" s="571"/>
      <c r="D61" s="572"/>
      <c r="F61" s="221">
        <v>25667</v>
      </c>
      <c r="G61" s="221">
        <v>5442</v>
      </c>
      <c r="H61" s="118">
        <v>1326272</v>
      </c>
      <c r="I61" s="133">
        <f t="shared" si="9"/>
        <v>934358.62400000007</v>
      </c>
      <c r="J61" s="118">
        <v>327017</v>
      </c>
      <c r="K61" s="141">
        <f t="shared" si="7"/>
        <v>1933613.6239999998</v>
      </c>
    </row>
    <row r="62" spans="1:11" ht="18" customHeight="1" x14ac:dyDescent="0.2">
      <c r="A62" s="435" t="s">
        <v>101</v>
      </c>
      <c r="B62" s="420"/>
      <c r="C62" s="414"/>
      <c r="D62" s="415"/>
      <c r="F62" s="221"/>
      <c r="G62" s="221"/>
      <c r="H62" s="118"/>
      <c r="I62" s="133">
        <v>0</v>
      </c>
      <c r="J62" s="118"/>
      <c r="K62" s="141">
        <f t="shared" si="7"/>
        <v>0</v>
      </c>
    </row>
    <row r="63" spans="1:11" ht="18" customHeight="1" x14ac:dyDescent="0.2">
      <c r="A63" s="435"/>
      <c r="I63" s="129"/>
    </row>
    <row r="64" spans="1:11" ht="18" customHeight="1" x14ac:dyDescent="0.2">
      <c r="A64" s="435" t="s">
        <v>144</v>
      </c>
      <c r="B64" s="421" t="s">
        <v>145</v>
      </c>
      <c r="E64" s="421" t="s">
        <v>7</v>
      </c>
      <c r="F64" s="221">
        <f t="shared" ref="F64:K64" si="10">SUM(F53:F62)</f>
        <v>80479</v>
      </c>
      <c r="G64" s="221">
        <f t="shared" si="10"/>
        <v>32242</v>
      </c>
      <c r="H64" s="118">
        <f t="shared" si="10"/>
        <v>8129586.5600000005</v>
      </c>
      <c r="I64" s="118">
        <f t="shared" si="10"/>
        <v>2611445.557945</v>
      </c>
      <c r="J64" s="118">
        <f t="shared" si="10"/>
        <v>2339646.9500000002</v>
      </c>
      <c r="K64" s="118">
        <f t="shared" si="10"/>
        <v>8401385.1679450013</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v>1067</v>
      </c>
      <c r="G68" s="122"/>
      <c r="H68" s="941">
        <v>109233.53</v>
      </c>
      <c r="I68" s="133">
        <f t="shared" ref="I68" si="11">H68*F$114</f>
        <v>76955.021884999995</v>
      </c>
      <c r="J68" s="122"/>
      <c r="K68" s="118">
        <f>(H68+I68)-J68</f>
        <v>186188.55188499999</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12">SUM(F68:F72)</f>
        <v>1067</v>
      </c>
      <c r="G74" s="122">
        <f t="shared" si="12"/>
        <v>0</v>
      </c>
      <c r="H74" s="122">
        <f t="shared" si="12"/>
        <v>109233.53</v>
      </c>
      <c r="I74" s="133">
        <f t="shared" si="12"/>
        <v>76955.021884999995</v>
      </c>
      <c r="J74" s="122">
        <f t="shared" si="12"/>
        <v>0</v>
      </c>
      <c r="K74" s="118">
        <f t="shared" si="12"/>
        <v>186188.55188499999</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120</v>
      </c>
      <c r="G77" s="221">
        <v>49</v>
      </c>
      <c r="H77" s="118">
        <v>37373.11</v>
      </c>
      <c r="I77" s="133">
        <f t="shared" ref="I77" si="13">H77*F$114</f>
        <v>26329.355995000002</v>
      </c>
      <c r="J77" s="118"/>
      <c r="K77" s="118">
        <f>(H77+I77)-J77</f>
        <v>63702.465995000006</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v>43720.02</v>
      </c>
      <c r="I79" s="133">
        <f t="shared" ref="I79:I80" si="14">H79*F$114</f>
        <v>30800.754089999999</v>
      </c>
      <c r="J79" s="118"/>
      <c r="K79" s="118">
        <f>(H79+I79)-J79</f>
        <v>74520.774089999992</v>
      </c>
    </row>
    <row r="80" spans="1:11" ht="18" customHeight="1" x14ac:dyDescent="0.2">
      <c r="A80" s="435" t="s">
        <v>110</v>
      </c>
      <c r="B80" s="419" t="s">
        <v>56</v>
      </c>
      <c r="F80" s="221">
        <v>962</v>
      </c>
      <c r="G80" s="221">
        <v>0</v>
      </c>
      <c r="H80" s="118">
        <v>47826.67</v>
      </c>
      <c r="I80" s="133">
        <f t="shared" si="14"/>
        <v>33693.889015000001</v>
      </c>
      <c r="J80" s="118"/>
      <c r="K80" s="118">
        <f>(H80+I80)-J80</f>
        <v>81520.559015000006</v>
      </c>
    </row>
    <row r="81" spans="1:11" ht="18" customHeight="1" x14ac:dyDescent="0.2">
      <c r="A81" s="435"/>
      <c r="K81" s="428"/>
    </row>
    <row r="82" spans="1:11" ht="18" customHeight="1" x14ac:dyDescent="0.2">
      <c r="A82" s="435" t="s">
        <v>148</v>
      </c>
      <c r="B82" s="421" t="s">
        <v>149</v>
      </c>
      <c r="E82" s="421" t="s">
        <v>7</v>
      </c>
      <c r="F82" s="122">
        <f t="shared" ref="F82:K82" si="15">SUM(F77:F80)</f>
        <v>1082</v>
      </c>
      <c r="G82" s="122">
        <f t="shared" si="15"/>
        <v>49</v>
      </c>
      <c r="H82" s="118">
        <f t="shared" si="15"/>
        <v>128919.8</v>
      </c>
      <c r="I82" s="118">
        <f t="shared" si="15"/>
        <v>90823.999100000001</v>
      </c>
      <c r="J82" s="118">
        <f t="shared" si="15"/>
        <v>0</v>
      </c>
      <c r="K82" s="118">
        <f t="shared" si="15"/>
        <v>219743.7991</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c r="I86" s="133">
        <f t="shared" ref="I86:I96" si="16">H86*F$114</f>
        <v>0</v>
      </c>
      <c r="J86" s="118"/>
      <c r="K86" s="118">
        <f t="shared" ref="K86:K96" si="17">(H86+I86)-J86</f>
        <v>0</v>
      </c>
    </row>
    <row r="87" spans="1:11" ht="18" customHeight="1" x14ac:dyDescent="0.2">
      <c r="A87" s="435" t="s">
        <v>114</v>
      </c>
      <c r="B87" s="419" t="s">
        <v>14</v>
      </c>
      <c r="F87" s="221"/>
      <c r="G87" s="221"/>
      <c r="H87" s="118"/>
      <c r="I87" s="133">
        <f t="shared" si="16"/>
        <v>0</v>
      </c>
      <c r="J87" s="118"/>
      <c r="K87" s="118">
        <f t="shared" si="17"/>
        <v>0</v>
      </c>
    </row>
    <row r="88" spans="1:11" ht="18" customHeight="1" x14ac:dyDescent="0.2">
      <c r="A88" s="435" t="s">
        <v>115</v>
      </c>
      <c r="B88" s="419" t="s">
        <v>116</v>
      </c>
      <c r="F88" s="221"/>
      <c r="G88" s="221"/>
      <c r="H88" s="118"/>
      <c r="I88" s="133">
        <f t="shared" si="16"/>
        <v>0</v>
      </c>
      <c r="J88" s="118"/>
      <c r="K88" s="118">
        <f t="shared" si="17"/>
        <v>0</v>
      </c>
    </row>
    <row r="89" spans="1:11" ht="18" customHeight="1" x14ac:dyDescent="0.2">
      <c r="A89" s="435" t="s">
        <v>117</v>
      </c>
      <c r="B89" s="419" t="s">
        <v>58</v>
      </c>
      <c r="F89" s="221"/>
      <c r="G89" s="221"/>
      <c r="H89" s="118"/>
      <c r="I89" s="133">
        <f t="shared" si="16"/>
        <v>0</v>
      </c>
      <c r="J89" s="118"/>
      <c r="K89" s="118">
        <f t="shared" si="17"/>
        <v>0</v>
      </c>
    </row>
    <row r="90" spans="1:11" ht="18" customHeight="1" x14ac:dyDescent="0.2">
      <c r="A90" s="435" t="s">
        <v>118</v>
      </c>
      <c r="B90" s="928" t="s">
        <v>59</v>
      </c>
      <c r="C90" s="929"/>
      <c r="F90" s="221"/>
      <c r="G90" s="221"/>
      <c r="H90" s="118"/>
      <c r="I90" s="133">
        <f t="shared" si="16"/>
        <v>0</v>
      </c>
      <c r="J90" s="118"/>
      <c r="K90" s="118">
        <f t="shared" si="17"/>
        <v>0</v>
      </c>
    </row>
    <row r="91" spans="1:11" ht="18" customHeight="1" x14ac:dyDescent="0.2">
      <c r="A91" s="435" t="s">
        <v>119</v>
      </c>
      <c r="B91" s="419" t="s">
        <v>60</v>
      </c>
      <c r="F91" s="221">
        <v>557</v>
      </c>
      <c r="G91" s="221"/>
      <c r="H91" s="118">
        <v>167172.97</v>
      </c>
      <c r="I91" s="133">
        <f t="shared" si="16"/>
        <v>117773.357365</v>
      </c>
      <c r="J91" s="118"/>
      <c r="K91" s="118">
        <f t="shared" si="17"/>
        <v>284946.32736500003</v>
      </c>
    </row>
    <row r="92" spans="1:11" ht="18" customHeight="1" x14ac:dyDescent="0.2">
      <c r="A92" s="435" t="s">
        <v>120</v>
      </c>
      <c r="B92" s="419" t="s">
        <v>121</v>
      </c>
      <c r="F92" s="257"/>
      <c r="G92" s="257"/>
      <c r="H92" s="429"/>
      <c r="I92" s="133">
        <f t="shared" si="16"/>
        <v>0</v>
      </c>
      <c r="J92" s="429"/>
      <c r="K92" s="118">
        <f t="shared" si="17"/>
        <v>0</v>
      </c>
    </row>
    <row r="93" spans="1:11" ht="18" customHeight="1" x14ac:dyDescent="0.2">
      <c r="A93" s="435" t="s">
        <v>122</v>
      </c>
      <c r="B93" s="419" t="s">
        <v>123</v>
      </c>
      <c r="F93" s="221"/>
      <c r="G93" s="221"/>
      <c r="H93" s="118"/>
      <c r="I93" s="133">
        <f t="shared" si="16"/>
        <v>0</v>
      </c>
      <c r="J93" s="118"/>
      <c r="K93" s="118">
        <f t="shared" si="17"/>
        <v>0</v>
      </c>
    </row>
    <row r="94" spans="1:11" ht="18" customHeight="1" x14ac:dyDescent="0.2">
      <c r="A94" s="435" t="s">
        <v>124</v>
      </c>
      <c r="B94" s="420"/>
      <c r="C94" s="414"/>
      <c r="D94" s="415"/>
      <c r="F94" s="221"/>
      <c r="G94" s="221"/>
      <c r="H94" s="118"/>
      <c r="I94" s="133">
        <f t="shared" si="16"/>
        <v>0</v>
      </c>
      <c r="J94" s="118"/>
      <c r="K94" s="118">
        <f t="shared" si="17"/>
        <v>0</v>
      </c>
    </row>
    <row r="95" spans="1:11" ht="18" customHeight="1" x14ac:dyDescent="0.2">
      <c r="A95" s="435" t="s">
        <v>125</v>
      </c>
      <c r="B95" s="420"/>
      <c r="C95" s="414"/>
      <c r="D95" s="415"/>
      <c r="F95" s="221"/>
      <c r="G95" s="221"/>
      <c r="H95" s="118"/>
      <c r="I95" s="133">
        <f t="shared" si="16"/>
        <v>0</v>
      </c>
      <c r="J95" s="118"/>
      <c r="K95" s="118">
        <f t="shared" si="17"/>
        <v>0</v>
      </c>
    </row>
    <row r="96" spans="1:11" ht="18" customHeight="1" x14ac:dyDescent="0.2">
      <c r="A96" s="435" t="s">
        <v>126</v>
      </c>
      <c r="B96" s="420"/>
      <c r="C96" s="414"/>
      <c r="D96" s="415"/>
      <c r="F96" s="221"/>
      <c r="G96" s="221"/>
      <c r="H96" s="118"/>
      <c r="I96" s="133">
        <f t="shared" si="16"/>
        <v>0</v>
      </c>
      <c r="J96" s="118"/>
      <c r="K96" s="118">
        <f t="shared" si="17"/>
        <v>0</v>
      </c>
    </row>
    <row r="97" spans="1:12" ht="18" customHeight="1" x14ac:dyDescent="0.2">
      <c r="A97" s="435"/>
      <c r="B97" s="419"/>
    </row>
    <row r="98" spans="1:12" ht="18" customHeight="1" x14ac:dyDescent="0.2">
      <c r="A98" s="455" t="s">
        <v>150</v>
      </c>
      <c r="B98" s="421" t="s">
        <v>151</v>
      </c>
      <c r="E98" s="421" t="s">
        <v>7</v>
      </c>
      <c r="F98" s="221">
        <f t="shared" ref="F98:K98" si="18">SUM(F86:F96)</f>
        <v>557</v>
      </c>
      <c r="G98" s="221">
        <f t="shared" si="18"/>
        <v>0</v>
      </c>
      <c r="H98" s="221">
        <f t="shared" si="18"/>
        <v>167172.97</v>
      </c>
      <c r="I98" s="221">
        <f t="shared" si="18"/>
        <v>117773.357365</v>
      </c>
      <c r="J98" s="221">
        <f t="shared" si="18"/>
        <v>0</v>
      </c>
      <c r="K98" s="221">
        <f t="shared" si="18"/>
        <v>284946.32736500003</v>
      </c>
    </row>
    <row r="99" spans="1:12" ht="18" customHeight="1" thickBot="1" x14ac:dyDescent="0.25">
      <c r="B99" s="421"/>
      <c r="F99" s="469"/>
      <c r="G99" s="469"/>
      <c r="H99" s="469"/>
      <c r="I99" s="469"/>
      <c r="J99" s="469"/>
      <c r="K99" s="469"/>
    </row>
    <row r="100" spans="1:12" ht="42.75" customHeight="1" x14ac:dyDescent="0.2">
      <c r="B100" s="430"/>
      <c r="F100" s="454" t="s">
        <v>9</v>
      </c>
      <c r="G100" s="454" t="s">
        <v>37</v>
      </c>
      <c r="H100" s="454" t="s">
        <v>29</v>
      </c>
      <c r="I100" s="454" t="s">
        <v>30</v>
      </c>
      <c r="J100" s="454" t="s">
        <v>33</v>
      </c>
      <c r="K100" s="454" t="s">
        <v>34</v>
      </c>
    </row>
    <row r="101" spans="1:12" ht="18" customHeight="1" x14ac:dyDescent="0.2">
      <c r="A101" s="455" t="s">
        <v>130</v>
      </c>
      <c r="B101" s="421" t="s">
        <v>63</v>
      </c>
    </row>
    <row r="102" spans="1:12" ht="18" customHeight="1" x14ac:dyDescent="0.2">
      <c r="A102" s="435" t="s">
        <v>131</v>
      </c>
      <c r="B102" s="419" t="s">
        <v>152</v>
      </c>
      <c r="F102" s="221">
        <v>724</v>
      </c>
      <c r="G102" s="221"/>
      <c r="H102" s="118">
        <v>69167.59</v>
      </c>
      <c r="I102" s="133">
        <f t="shared" ref="I102" si="19">H102*F$114</f>
        <v>48728.567154999997</v>
      </c>
      <c r="J102" s="118"/>
      <c r="K102" s="118">
        <f>(H102+I102)-J102</f>
        <v>117896.15715499999</v>
      </c>
    </row>
    <row r="103" spans="1:12" ht="18" customHeight="1" x14ac:dyDescent="0.2">
      <c r="A103" s="435" t="s">
        <v>132</v>
      </c>
      <c r="B103" s="928" t="s">
        <v>62</v>
      </c>
      <c r="C103" s="928"/>
      <c r="F103" s="221"/>
      <c r="G103" s="221"/>
      <c r="H103" s="118"/>
      <c r="I103" s="133">
        <f>H103*G$114</f>
        <v>0</v>
      </c>
      <c r="J103" s="118"/>
      <c r="K103" s="118">
        <f>(H103+I103)-J103</f>
        <v>0</v>
      </c>
    </row>
    <row r="104" spans="1:12" ht="18" customHeight="1" x14ac:dyDescent="0.2">
      <c r="A104" s="435" t="s">
        <v>128</v>
      </c>
      <c r="B104" s="420"/>
      <c r="C104" s="414"/>
      <c r="D104" s="415"/>
      <c r="F104" s="221"/>
      <c r="G104" s="221"/>
      <c r="H104" s="118"/>
      <c r="I104" s="133">
        <f>H104*G$114</f>
        <v>0</v>
      </c>
      <c r="J104" s="118"/>
      <c r="K104" s="118">
        <f>(H104+I104)-J104</f>
        <v>0</v>
      </c>
    </row>
    <row r="105" spans="1:12" ht="18" customHeight="1" x14ac:dyDescent="0.2">
      <c r="A105" s="435" t="s">
        <v>127</v>
      </c>
      <c r="B105" s="420"/>
      <c r="C105" s="414"/>
      <c r="D105" s="415"/>
      <c r="F105" s="221"/>
      <c r="G105" s="221"/>
      <c r="H105" s="118"/>
      <c r="I105" s="133">
        <f>H105*G$114</f>
        <v>0</v>
      </c>
      <c r="J105" s="118"/>
      <c r="K105" s="118">
        <f>(H105+I105)-J105</f>
        <v>0</v>
      </c>
    </row>
    <row r="106" spans="1:12" ht="18" customHeight="1" x14ac:dyDescent="0.2">
      <c r="A106" s="435" t="s">
        <v>129</v>
      </c>
      <c r="B106" s="420"/>
      <c r="C106" s="414"/>
      <c r="D106" s="415"/>
      <c r="F106" s="221"/>
      <c r="G106" s="221"/>
      <c r="H106" s="118"/>
      <c r="I106" s="133">
        <f>H106*G$114</f>
        <v>0</v>
      </c>
      <c r="J106" s="118"/>
      <c r="K106" s="118">
        <f>(H106+I106)-J106</f>
        <v>0</v>
      </c>
    </row>
    <row r="107" spans="1:12" ht="18" customHeight="1" x14ac:dyDescent="0.2">
      <c r="B107" s="430"/>
      <c r="C107" s="421"/>
    </row>
    <row r="108" spans="1:12" s="468" customFormat="1" ht="18" customHeight="1" x14ac:dyDescent="0.2">
      <c r="A108" s="455" t="s">
        <v>153</v>
      </c>
      <c r="B108" s="455" t="s">
        <v>153</v>
      </c>
      <c r="C108" s="481" t="s">
        <v>154</v>
      </c>
      <c r="D108" s="259"/>
      <c r="E108" s="259"/>
      <c r="F108" s="221">
        <f t="shared" ref="F108:K108" si="20">SUM(F102:F106)</f>
        <v>724</v>
      </c>
      <c r="G108" s="221">
        <f t="shared" si="20"/>
        <v>0</v>
      </c>
      <c r="H108" s="118">
        <f t="shared" si="20"/>
        <v>69167.59</v>
      </c>
      <c r="I108" s="118">
        <f t="shared" si="20"/>
        <v>48728.567154999997</v>
      </c>
      <c r="J108" s="118">
        <f t="shared" si="20"/>
        <v>0</v>
      </c>
      <c r="K108" s="118">
        <f t="shared" si="20"/>
        <v>117896.15715499999</v>
      </c>
    </row>
    <row r="109" spans="1:12" s="468" customFormat="1" ht="18" customHeight="1" thickBot="1" x14ac:dyDescent="0.25">
      <c r="A109" s="482"/>
      <c r="B109" s="482"/>
      <c r="C109" s="483"/>
      <c r="D109" s="484"/>
      <c r="E109" s="484"/>
      <c r="F109" s="484"/>
      <c r="G109" s="469"/>
      <c r="H109" s="469"/>
      <c r="I109" s="469"/>
      <c r="J109" s="469"/>
      <c r="K109" s="469"/>
      <c r="L109" s="469"/>
    </row>
    <row r="110" spans="1:12" s="468" customFormat="1" ht="18" customHeight="1" x14ac:dyDescent="0.2">
      <c r="A110" s="455" t="s">
        <v>156</v>
      </c>
      <c r="B110" s="421" t="s">
        <v>39</v>
      </c>
      <c r="C110" s="259"/>
      <c r="D110" s="259"/>
      <c r="E110" s="259"/>
      <c r="F110" s="259"/>
      <c r="G110" s="259"/>
      <c r="H110" s="259"/>
      <c r="I110" s="259"/>
      <c r="J110" s="259"/>
      <c r="K110" s="259"/>
    </row>
    <row r="111" spans="1:12" ht="18" customHeight="1" x14ac:dyDescent="0.2">
      <c r="A111" s="455" t="s">
        <v>155</v>
      </c>
      <c r="B111" s="421" t="s">
        <v>164</v>
      </c>
      <c r="E111" s="421" t="s">
        <v>7</v>
      </c>
      <c r="F111" s="118">
        <v>4605737.68</v>
      </c>
    </row>
    <row r="112" spans="1:12"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0.70450000000000002</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222766340</v>
      </c>
    </row>
    <row r="118" spans="1:6" ht="18" customHeight="1" x14ac:dyDescent="0.2">
      <c r="A118" s="435" t="s">
        <v>173</v>
      </c>
      <c r="B118" s="259" t="s">
        <v>18</v>
      </c>
      <c r="F118" s="118">
        <v>13853814</v>
      </c>
    </row>
    <row r="119" spans="1:6" ht="18" customHeight="1" x14ac:dyDescent="0.2">
      <c r="A119" s="435" t="s">
        <v>174</v>
      </c>
      <c r="B119" s="421" t="s">
        <v>19</v>
      </c>
      <c r="F119" s="118">
        <f>SUM(F117:F118)</f>
        <v>236620154</v>
      </c>
    </row>
    <row r="120" spans="1:6" ht="18" customHeight="1" x14ac:dyDescent="0.2">
      <c r="A120" s="435"/>
      <c r="B120" s="421"/>
    </row>
    <row r="121" spans="1:6" ht="18" customHeight="1" x14ac:dyDescent="0.2">
      <c r="A121" s="435" t="s">
        <v>167</v>
      </c>
      <c r="B121" s="421" t="s">
        <v>36</v>
      </c>
      <c r="F121" s="118">
        <v>234132619</v>
      </c>
    </row>
    <row r="122" spans="1:6" ht="18" customHeight="1" x14ac:dyDescent="0.2">
      <c r="A122" s="435"/>
    </row>
    <row r="123" spans="1:6" ht="18" customHeight="1" x14ac:dyDescent="0.2">
      <c r="A123" s="435" t="s">
        <v>175</v>
      </c>
      <c r="B123" s="421" t="s">
        <v>20</v>
      </c>
      <c r="F123" s="118">
        <v>2487535</v>
      </c>
    </row>
    <row r="124" spans="1:6" ht="18" customHeight="1" x14ac:dyDescent="0.2">
      <c r="A124" s="435"/>
    </row>
    <row r="125" spans="1:6" ht="18" customHeight="1" x14ac:dyDescent="0.2">
      <c r="A125" s="435" t="s">
        <v>176</v>
      </c>
      <c r="B125" s="421" t="s">
        <v>21</v>
      </c>
      <c r="F125" s="118">
        <v>2485400</v>
      </c>
    </row>
    <row r="126" spans="1:6" ht="18" customHeight="1" x14ac:dyDescent="0.2">
      <c r="A126" s="435"/>
    </row>
    <row r="127" spans="1:6" ht="18" customHeight="1" x14ac:dyDescent="0.2">
      <c r="A127" s="435" t="s">
        <v>177</v>
      </c>
      <c r="B127" s="421" t="s">
        <v>22</v>
      </c>
      <c r="F127" s="118">
        <v>4972935</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21">SUM(F131:F135)</f>
        <v>0</v>
      </c>
      <c r="G137" s="221">
        <f t="shared" si="21"/>
        <v>0</v>
      </c>
      <c r="H137" s="118">
        <f t="shared" si="21"/>
        <v>0</v>
      </c>
      <c r="I137" s="118">
        <f t="shared" si="21"/>
        <v>0</v>
      </c>
      <c r="J137" s="118">
        <f t="shared" si="21"/>
        <v>0</v>
      </c>
      <c r="K137" s="118">
        <f t="shared" si="21"/>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22">F36</f>
        <v>26553</v>
      </c>
      <c r="G141" s="422">
        <f t="shared" si="22"/>
        <v>47360</v>
      </c>
      <c r="H141" s="422">
        <f t="shared" si="22"/>
        <v>1116860.72</v>
      </c>
      <c r="I141" s="422">
        <f t="shared" si="22"/>
        <v>761529.37193499994</v>
      </c>
      <c r="J141" s="422">
        <f t="shared" si="22"/>
        <v>98241.75</v>
      </c>
      <c r="K141" s="422">
        <f t="shared" si="22"/>
        <v>1780148.3419349999</v>
      </c>
    </row>
    <row r="142" spans="1:11" ht="18" customHeight="1" x14ac:dyDescent="0.2">
      <c r="A142" s="435" t="s">
        <v>142</v>
      </c>
      <c r="B142" s="421" t="s">
        <v>65</v>
      </c>
      <c r="F142" s="422">
        <f t="shared" ref="F142:K142" si="23">F49</f>
        <v>51260</v>
      </c>
      <c r="G142" s="422">
        <f t="shared" si="23"/>
        <v>11517</v>
      </c>
      <c r="H142" s="422">
        <f t="shared" si="23"/>
        <v>2919944.4</v>
      </c>
      <c r="I142" s="422">
        <f t="shared" si="23"/>
        <v>442763.44141000003</v>
      </c>
      <c r="J142" s="422">
        <f t="shared" si="23"/>
        <v>2347115.63</v>
      </c>
      <c r="K142" s="422">
        <f t="shared" si="23"/>
        <v>1015592.2114100002</v>
      </c>
    </row>
    <row r="143" spans="1:11" ht="18" customHeight="1" x14ac:dyDescent="0.2">
      <c r="A143" s="435" t="s">
        <v>144</v>
      </c>
      <c r="B143" s="421" t="s">
        <v>66</v>
      </c>
      <c r="F143" s="422">
        <f t="shared" ref="F143:K143" si="24">F64</f>
        <v>80479</v>
      </c>
      <c r="G143" s="422">
        <f t="shared" si="24"/>
        <v>32242</v>
      </c>
      <c r="H143" s="422">
        <f t="shared" si="24"/>
        <v>8129586.5600000005</v>
      </c>
      <c r="I143" s="422">
        <f t="shared" si="24"/>
        <v>2611445.557945</v>
      </c>
      <c r="J143" s="422">
        <f t="shared" si="24"/>
        <v>2339646.9500000002</v>
      </c>
      <c r="K143" s="422">
        <f t="shared" si="24"/>
        <v>8401385.1679450013</v>
      </c>
    </row>
    <row r="144" spans="1:11" ht="18" customHeight="1" x14ac:dyDescent="0.2">
      <c r="A144" s="435" t="s">
        <v>146</v>
      </c>
      <c r="B144" s="421" t="s">
        <v>67</v>
      </c>
      <c r="F144" s="422">
        <f t="shared" ref="F144:K144" si="25">F74</f>
        <v>1067</v>
      </c>
      <c r="G144" s="422">
        <f t="shared" si="25"/>
        <v>0</v>
      </c>
      <c r="H144" s="422">
        <f t="shared" si="25"/>
        <v>109233.53</v>
      </c>
      <c r="I144" s="422">
        <f t="shared" si="25"/>
        <v>76955.021884999995</v>
      </c>
      <c r="J144" s="422">
        <f t="shared" si="25"/>
        <v>0</v>
      </c>
      <c r="K144" s="422">
        <f t="shared" si="25"/>
        <v>186188.55188499999</v>
      </c>
    </row>
    <row r="145" spans="1:11" ht="18" customHeight="1" x14ac:dyDescent="0.2">
      <c r="A145" s="435" t="s">
        <v>148</v>
      </c>
      <c r="B145" s="421" t="s">
        <v>68</v>
      </c>
      <c r="F145" s="422">
        <f t="shared" ref="F145:K145" si="26">F82</f>
        <v>1082</v>
      </c>
      <c r="G145" s="422">
        <f t="shared" si="26"/>
        <v>49</v>
      </c>
      <c r="H145" s="422">
        <f t="shared" si="26"/>
        <v>128919.8</v>
      </c>
      <c r="I145" s="422">
        <f t="shared" si="26"/>
        <v>90823.999100000001</v>
      </c>
      <c r="J145" s="422">
        <f t="shared" si="26"/>
        <v>0</v>
      </c>
      <c r="K145" s="422">
        <f t="shared" si="26"/>
        <v>219743.7991</v>
      </c>
    </row>
    <row r="146" spans="1:11" ht="18" customHeight="1" x14ac:dyDescent="0.2">
      <c r="A146" s="435" t="s">
        <v>150</v>
      </c>
      <c r="B146" s="421" t="s">
        <v>69</v>
      </c>
      <c r="F146" s="422">
        <f t="shared" ref="F146:K146" si="27">F98</f>
        <v>557</v>
      </c>
      <c r="G146" s="422">
        <f t="shared" si="27"/>
        <v>0</v>
      </c>
      <c r="H146" s="422">
        <f t="shared" si="27"/>
        <v>167172.97</v>
      </c>
      <c r="I146" s="422">
        <f t="shared" si="27"/>
        <v>117773.357365</v>
      </c>
      <c r="J146" s="422">
        <f t="shared" si="27"/>
        <v>0</v>
      </c>
      <c r="K146" s="422">
        <f t="shared" si="27"/>
        <v>284946.32736500003</v>
      </c>
    </row>
    <row r="147" spans="1:11" ht="18" customHeight="1" x14ac:dyDescent="0.2">
      <c r="A147" s="435" t="s">
        <v>153</v>
      </c>
      <c r="B147" s="421" t="s">
        <v>61</v>
      </c>
      <c r="F147" s="221">
        <f>F108</f>
        <v>724</v>
      </c>
      <c r="G147" s="221">
        <v>0</v>
      </c>
      <c r="H147" s="221">
        <f>H108</f>
        <v>69167.59</v>
      </c>
      <c r="I147" s="221">
        <f>I108</f>
        <v>48728.567154999997</v>
      </c>
      <c r="J147" s="221"/>
      <c r="K147" s="221">
        <f>K108</f>
        <v>117896.15715499999</v>
      </c>
    </row>
    <row r="148" spans="1:11" ht="18" customHeight="1" x14ac:dyDescent="0.2">
      <c r="A148" s="435" t="s">
        <v>155</v>
      </c>
      <c r="B148" s="421" t="s">
        <v>70</v>
      </c>
      <c r="F148" s="485" t="s">
        <v>73</v>
      </c>
      <c r="G148" s="485" t="s">
        <v>73</v>
      </c>
      <c r="H148" s="486" t="s">
        <v>73</v>
      </c>
      <c r="I148" s="486" t="s">
        <v>73</v>
      </c>
      <c r="J148" s="486" t="s">
        <v>73</v>
      </c>
      <c r="K148" s="423">
        <f>F111</f>
        <v>4605737.68</v>
      </c>
    </row>
    <row r="149" spans="1:11" ht="18" customHeight="1" x14ac:dyDescent="0.2">
      <c r="A149" s="435" t="s">
        <v>163</v>
      </c>
      <c r="B149" s="421" t="s">
        <v>71</v>
      </c>
      <c r="F149" s="221">
        <f t="shared" ref="F149:K149" si="28">F137</f>
        <v>0</v>
      </c>
      <c r="G149" s="221">
        <f t="shared" si="28"/>
        <v>0</v>
      </c>
      <c r="H149" s="221">
        <f t="shared" si="28"/>
        <v>0</v>
      </c>
      <c r="I149" s="221">
        <f t="shared" si="28"/>
        <v>0</v>
      </c>
      <c r="J149" s="221">
        <f t="shared" si="28"/>
        <v>0</v>
      </c>
      <c r="K149" s="221">
        <f t="shared" si="28"/>
        <v>0</v>
      </c>
    </row>
    <row r="150" spans="1:11" ht="18" customHeight="1" x14ac:dyDescent="0.2">
      <c r="A150" s="435" t="s">
        <v>185</v>
      </c>
      <c r="B150" s="421" t="s">
        <v>183</v>
      </c>
      <c r="F150" s="485" t="s">
        <v>73</v>
      </c>
      <c r="G150" s="485" t="s">
        <v>73</v>
      </c>
      <c r="H150" s="221">
        <f>H18</f>
        <v>0</v>
      </c>
      <c r="I150" s="221">
        <f>I18</f>
        <v>0</v>
      </c>
      <c r="J150" s="221">
        <f>J18</f>
        <v>0</v>
      </c>
      <c r="K150" s="221">
        <f>K18</f>
        <v>0</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9">SUM(F141:F150)</f>
        <v>161722</v>
      </c>
      <c r="G152" s="487">
        <f t="shared" si="29"/>
        <v>91168</v>
      </c>
      <c r="H152" s="487">
        <f t="shared" si="29"/>
        <v>12640885.57</v>
      </c>
      <c r="I152" s="487">
        <f t="shared" si="29"/>
        <v>4150019.3167950003</v>
      </c>
      <c r="J152" s="487">
        <f t="shared" si="29"/>
        <v>4785004.33</v>
      </c>
      <c r="K152" s="487">
        <f t="shared" si="29"/>
        <v>16611638.236795001</v>
      </c>
    </row>
    <row r="154" spans="1:11" ht="18" customHeight="1" x14ac:dyDescent="0.2">
      <c r="A154" s="455" t="s">
        <v>168</v>
      </c>
      <c r="B154" s="421" t="s">
        <v>28</v>
      </c>
      <c r="F154" s="140">
        <f>K152/F121</f>
        <v>7.0949696406014243E-2</v>
      </c>
    </row>
    <row r="155" spans="1:11" ht="18" customHeight="1" x14ac:dyDescent="0.2">
      <c r="A155" s="455" t="s">
        <v>169</v>
      </c>
      <c r="B155" s="421" t="s">
        <v>72</v>
      </c>
      <c r="F155" s="140">
        <f>K152/F127</f>
        <v>3.3404092828068337</v>
      </c>
      <c r="G155" s="421"/>
    </row>
    <row r="156" spans="1:11" ht="18" customHeight="1" x14ac:dyDescent="0.2">
      <c r="G156" s="421"/>
    </row>
  </sheetData>
  <sheetProtection algorithmName="SHA-512" hashValue="j8kLDalvhgQrV+rCYRtm3rLo56hUnSJ8+BurdNTd8Oeqzs8mD5HhN6fptl7w/vFXc/U0YsNb9YRj6mACnzpdpQ==" saltValue="sxpA5pdRNKqEcfkVed5Kxw==" spinCount="100000" sheet="1" objects="1" scenarios="1"/>
  <mergeCells count="20">
    <mergeCell ref="B135:D135"/>
    <mergeCell ref="B133:D133"/>
    <mergeCell ref="B134:D134"/>
    <mergeCell ref="B57:D57"/>
    <mergeCell ref="B59:D59"/>
    <mergeCell ref="B54:D54"/>
    <mergeCell ref="B58:D58"/>
    <mergeCell ref="B60:D60"/>
    <mergeCell ref="B61:D61"/>
    <mergeCell ref="D2:H2"/>
    <mergeCell ref="C11:G11"/>
    <mergeCell ref="B13:H13"/>
    <mergeCell ref="C5:G5"/>
    <mergeCell ref="C6:G6"/>
    <mergeCell ref="C7:G7"/>
    <mergeCell ref="C9:G9"/>
    <mergeCell ref="C10:G10"/>
    <mergeCell ref="B53:D53"/>
    <mergeCell ref="B55:D55"/>
    <mergeCell ref="B56:D56"/>
  </mergeCells>
  <hyperlinks>
    <hyperlink ref="C11" r:id="rId1"/>
    <hyperlink ref="B53:D53" location="Telepsychiatry" display="Telepsychiatry"/>
    <hyperlink ref="B54:D54" location="Harford_Co_Mobile" display="Harford Co Mobile Crisis, Stabiliation"/>
    <hyperlink ref="B55:D55" location="TRS" display="Therapy Referral Service"/>
    <hyperlink ref="B56:D56" location="Crisis_Walk_In_Clinic" display="Crisis Walk In Clinic"/>
    <hyperlink ref="B57:D57" location="Crisis_Referral_OP_Program" display="Crisis Referral Outpatient Program"/>
    <hyperlink ref="B58:D58" location="Physician_Subsidies" display="Physician Subsidies"/>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K156"/>
  <sheetViews>
    <sheetView showGridLines="0" zoomScaleNormal="100" zoomScaleSheetLayoutView="70" workbookViewId="0"/>
  </sheetViews>
  <sheetFormatPr defaultRowHeight="18" customHeight="1" x14ac:dyDescent="0.2"/>
  <cols>
    <col min="1" max="1" width="8.285156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474</v>
      </c>
      <c r="D5" s="437"/>
      <c r="E5" s="437"/>
      <c r="F5" s="437"/>
      <c r="G5" s="438"/>
    </row>
    <row r="6" spans="1:11" ht="18" customHeight="1" x14ac:dyDescent="0.2">
      <c r="B6" s="435" t="s">
        <v>3</v>
      </c>
      <c r="C6" s="439">
        <v>4013</v>
      </c>
      <c r="D6" s="440"/>
      <c r="E6" s="440"/>
      <c r="F6" s="440"/>
      <c r="G6" s="441"/>
    </row>
    <row r="7" spans="1:11" ht="18" customHeight="1" x14ac:dyDescent="0.2">
      <c r="B7" s="435" t="s">
        <v>4</v>
      </c>
      <c r="C7" s="492">
        <v>397</v>
      </c>
      <c r="D7" s="493"/>
      <c r="E7" s="493"/>
      <c r="F7" s="493"/>
      <c r="G7" s="494"/>
    </row>
    <row r="9" spans="1:11" ht="18" customHeight="1" x14ac:dyDescent="0.2">
      <c r="B9" s="435" t="s">
        <v>1</v>
      </c>
      <c r="C9" s="436" t="s">
        <v>613</v>
      </c>
      <c r="D9" s="437"/>
      <c r="E9" s="437"/>
      <c r="F9" s="437"/>
      <c r="G9" s="438"/>
    </row>
    <row r="10" spans="1:11" ht="18" customHeight="1" x14ac:dyDescent="0.2">
      <c r="B10" s="435" t="s">
        <v>2</v>
      </c>
      <c r="C10" s="445" t="s">
        <v>614</v>
      </c>
      <c r="D10" s="446"/>
      <c r="E10" s="446"/>
      <c r="F10" s="446"/>
      <c r="G10" s="447"/>
    </row>
    <row r="11" spans="1:11" ht="18" customHeight="1" x14ac:dyDescent="0.2">
      <c r="B11" s="435" t="s">
        <v>32</v>
      </c>
      <c r="C11" s="495" t="s">
        <v>615</v>
      </c>
      <c r="D11" s="448"/>
      <c r="E11" s="448"/>
      <c r="F11" s="448"/>
      <c r="G11" s="448"/>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c r="I18" s="133">
        <v>0</v>
      </c>
      <c r="J18" s="118"/>
      <c r="K18" s="118">
        <f>(H18+I18)-J18</f>
        <v>0</v>
      </c>
    </row>
    <row r="19" spans="1:11" ht="45"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442.58142037086583</v>
      </c>
      <c r="G21" s="221">
        <v>25.896085405234313</v>
      </c>
      <c r="H21" s="118">
        <v>22213.612372710002</v>
      </c>
      <c r="I21" s="133">
        <f>H21*F$114</f>
        <v>25520.018270901644</v>
      </c>
      <c r="J21" s="118">
        <v>1091.6450322000001</v>
      </c>
      <c r="K21" s="118">
        <f t="shared" ref="K21:K34" si="0">(H21+I21)-J21</f>
        <v>46641.985611411641</v>
      </c>
    </row>
    <row r="22" spans="1:11" ht="18" customHeight="1" x14ac:dyDescent="0.2">
      <c r="A22" s="435" t="s">
        <v>76</v>
      </c>
      <c r="B22" s="259" t="s">
        <v>6</v>
      </c>
      <c r="F22" s="221">
        <v>31.336047000000001</v>
      </c>
      <c r="G22" s="221"/>
      <c r="H22" s="118">
        <v>4541.8390763084999</v>
      </c>
      <c r="I22" s="133">
        <f t="shared" ref="I22:I34" si="1">H22*F$114</f>
        <v>5217.8733591877981</v>
      </c>
      <c r="J22" s="118">
        <v>3083.7723492300001</v>
      </c>
      <c r="K22" s="118">
        <f t="shared" si="0"/>
        <v>6675.9400862662978</v>
      </c>
    </row>
    <row r="23" spans="1:11" ht="18" customHeight="1" x14ac:dyDescent="0.2">
      <c r="A23" s="435" t="s">
        <v>77</v>
      </c>
      <c r="B23" s="259" t="s">
        <v>43</v>
      </c>
      <c r="F23" s="221">
        <v>53.867519999999999</v>
      </c>
      <c r="G23" s="221"/>
      <c r="H23" s="118">
        <v>2249.4200052900001</v>
      </c>
      <c r="I23" s="133">
        <f t="shared" si="1"/>
        <v>2584.2370286633932</v>
      </c>
      <c r="J23" s="118">
        <v>161.98963260000002</v>
      </c>
      <c r="K23" s="118">
        <f t="shared" si="0"/>
        <v>4671.6674013533939</v>
      </c>
    </row>
    <row r="24" spans="1:11" ht="18" customHeight="1" x14ac:dyDescent="0.2">
      <c r="A24" s="435" t="s">
        <v>78</v>
      </c>
      <c r="B24" s="259" t="s">
        <v>44</v>
      </c>
      <c r="F24" s="221"/>
      <c r="G24" s="221"/>
      <c r="H24" s="118"/>
      <c r="I24" s="133">
        <f t="shared" si="1"/>
        <v>0</v>
      </c>
      <c r="J24" s="118"/>
      <c r="K24" s="118">
        <f t="shared" si="0"/>
        <v>0</v>
      </c>
    </row>
    <row r="25" spans="1:11" ht="18" customHeight="1" x14ac:dyDescent="0.2">
      <c r="A25" s="435" t="s">
        <v>79</v>
      </c>
      <c r="B25" s="259" t="s">
        <v>5</v>
      </c>
      <c r="F25" s="221">
        <v>245.57717400000001</v>
      </c>
      <c r="G25" s="221"/>
      <c r="H25" s="118">
        <v>7666.2852395459995</v>
      </c>
      <c r="I25" s="133">
        <f t="shared" si="1"/>
        <v>8807.380632224902</v>
      </c>
      <c r="J25" s="118">
        <v>574.53427500000009</v>
      </c>
      <c r="K25" s="118">
        <f t="shared" si="0"/>
        <v>15899.1315967709</v>
      </c>
    </row>
    <row r="26" spans="1:11" ht="18" customHeight="1" x14ac:dyDescent="0.2">
      <c r="A26" s="435" t="s">
        <v>80</v>
      </c>
      <c r="B26" s="259" t="s">
        <v>45</v>
      </c>
      <c r="F26" s="221"/>
      <c r="G26" s="221"/>
      <c r="H26" s="118"/>
      <c r="I26" s="133">
        <f t="shared" si="1"/>
        <v>0</v>
      </c>
      <c r="J26" s="118"/>
      <c r="K26" s="118">
        <f t="shared" si="0"/>
        <v>0</v>
      </c>
    </row>
    <row r="27" spans="1:11" ht="18" customHeight="1" x14ac:dyDescent="0.2">
      <c r="A27" s="435" t="s">
        <v>81</v>
      </c>
      <c r="B27" s="259" t="s">
        <v>536</v>
      </c>
      <c r="F27" s="221"/>
      <c r="G27" s="221"/>
      <c r="H27" s="118"/>
      <c r="I27" s="133">
        <f t="shared" si="1"/>
        <v>0</v>
      </c>
      <c r="J27" s="118"/>
      <c r="K27" s="118">
        <f t="shared" si="0"/>
        <v>0</v>
      </c>
    </row>
    <row r="28" spans="1:11" ht="18" customHeight="1" x14ac:dyDescent="0.2">
      <c r="A28" s="435" t="s">
        <v>82</v>
      </c>
      <c r="B28" s="259" t="s">
        <v>47</v>
      </c>
      <c r="F28" s="221"/>
      <c r="G28" s="221"/>
      <c r="H28" s="118"/>
      <c r="I28" s="133">
        <f t="shared" si="1"/>
        <v>0</v>
      </c>
      <c r="J28" s="118"/>
      <c r="K28" s="118">
        <f t="shared" si="0"/>
        <v>0</v>
      </c>
    </row>
    <row r="29" spans="1:11" ht="18" customHeight="1" x14ac:dyDescent="0.2">
      <c r="A29" s="435" t="s">
        <v>83</v>
      </c>
      <c r="B29" s="259" t="s">
        <v>48</v>
      </c>
      <c r="F29" s="221">
        <v>19.815567186686849</v>
      </c>
      <c r="G29" s="221">
        <v>6678.7046428499198</v>
      </c>
      <c r="H29" s="118">
        <v>457880.63440772</v>
      </c>
      <c r="I29" s="133">
        <v>520961.40389647655</v>
      </c>
      <c r="J29" s="118">
        <v>27.874637999999997</v>
      </c>
      <c r="K29" s="118">
        <f t="shared" si="0"/>
        <v>978814.16366619652</v>
      </c>
    </row>
    <row r="30" spans="1:11" ht="18" customHeight="1" x14ac:dyDescent="0.2">
      <c r="A30" s="435" t="s">
        <v>84</v>
      </c>
      <c r="B30" s="416" t="s">
        <v>193</v>
      </c>
      <c r="C30" s="635"/>
      <c r="D30" s="636"/>
      <c r="F30" s="221">
        <v>13.46688</v>
      </c>
      <c r="G30" s="221"/>
      <c r="H30" s="118">
        <v>562.35500132250002</v>
      </c>
      <c r="I30" s="133">
        <f t="shared" si="1"/>
        <v>646.05925716584829</v>
      </c>
      <c r="J30" s="118">
        <v>40.497408150000005</v>
      </c>
      <c r="K30" s="118">
        <f t="shared" si="0"/>
        <v>1167.9168503383485</v>
      </c>
    </row>
    <row r="31" spans="1:11" ht="18" customHeight="1" x14ac:dyDescent="0.2">
      <c r="A31" s="435" t="s">
        <v>133</v>
      </c>
      <c r="B31" s="456"/>
      <c r="C31" s="457"/>
      <c r="D31" s="458"/>
      <c r="F31" s="221"/>
      <c r="G31" s="221"/>
      <c r="H31" s="118"/>
      <c r="I31" s="133">
        <f t="shared" si="1"/>
        <v>0</v>
      </c>
      <c r="J31" s="118"/>
      <c r="K31" s="118">
        <f t="shared" si="0"/>
        <v>0</v>
      </c>
    </row>
    <row r="32" spans="1:11" ht="18" customHeight="1" x14ac:dyDescent="0.2">
      <c r="A32" s="435" t="s">
        <v>134</v>
      </c>
      <c r="B32" s="459"/>
      <c r="C32" s="460"/>
      <c r="D32" s="461"/>
      <c r="F32" s="221"/>
      <c r="G32" s="255" t="s">
        <v>85</v>
      </c>
      <c r="H32" s="118"/>
      <c r="I32" s="133">
        <f t="shared" si="1"/>
        <v>0</v>
      </c>
      <c r="J32" s="118"/>
      <c r="K32" s="118">
        <f t="shared" si="0"/>
        <v>0</v>
      </c>
    </row>
    <row r="33" spans="1:11" ht="18" customHeight="1" x14ac:dyDescent="0.2">
      <c r="A33" s="435" t="s">
        <v>135</v>
      </c>
      <c r="B33" s="459"/>
      <c r="C33" s="460"/>
      <c r="D33" s="461"/>
      <c r="F33" s="221"/>
      <c r="G33" s="255" t="s">
        <v>85</v>
      </c>
      <c r="H33" s="118"/>
      <c r="I33" s="133">
        <f t="shared" si="1"/>
        <v>0</v>
      </c>
      <c r="J33" s="118"/>
      <c r="K33" s="118">
        <f t="shared" si="0"/>
        <v>0</v>
      </c>
    </row>
    <row r="34" spans="1:11" ht="18" customHeight="1" x14ac:dyDescent="0.2">
      <c r="A34" s="435" t="s">
        <v>136</v>
      </c>
      <c r="B34" s="456"/>
      <c r="C34" s="457"/>
      <c r="D34" s="458"/>
      <c r="F34" s="221"/>
      <c r="G34" s="255" t="s">
        <v>85</v>
      </c>
      <c r="H34" s="118"/>
      <c r="I34" s="133">
        <f t="shared" si="1"/>
        <v>0</v>
      </c>
      <c r="J34" s="118"/>
      <c r="K34" s="118">
        <f t="shared" si="0"/>
        <v>0</v>
      </c>
    </row>
    <row r="35" spans="1:11" ht="18" customHeight="1" x14ac:dyDescent="0.2">
      <c r="K35" s="406"/>
    </row>
    <row r="36" spans="1:11" ht="18" customHeight="1" x14ac:dyDescent="0.2">
      <c r="A36" s="455" t="s">
        <v>137</v>
      </c>
      <c r="B36" s="421" t="s">
        <v>138</v>
      </c>
      <c r="E36" s="421" t="s">
        <v>7</v>
      </c>
      <c r="F36" s="221">
        <f t="shared" ref="F36:K36" si="2">SUM(F21:F34)</f>
        <v>806.6446085575526</v>
      </c>
      <c r="G36" s="221">
        <f t="shared" si="2"/>
        <v>6704.6007282551536</v>
      </c>
      <c r="H36" s="221">
        <f t="shared" si="2"/>
        <v>495114.14610289701</v>
      </c>
      <c r="I36" s="118">
        <f t="shared" si="2"/>
        <v>563736.97244462022</v>
      </c>
      <c r="J36" s="118">
        <f t="shared" si="2"/>
        <v>4980.3133351800006</v>
      </c>
      <c r="K36" s="118">
        <f t="shared" si="2"/>
        <v>1053870.8052123373</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c r="G40" s="221"/>
      <c r="H40" s="118"/>
      <c r="I40" s="133">
        <v>0</v>
      </c>
      <c r="J40" s="118"/>
      <c r="K40" s="118">
        <f t="shared" ref="K40:K47" si="3">(H40+I40)-J40</f>
        <v>0</v>
      </c>
    </row>
    <row r="41" spans="1:11" ht="18" customHeight="1" x14ac:dyDescent="0.2">
      <c r="A41" s="435" t="s">
        <v>88</v>
      </c>
      <c r="B41" s="465" t="s">
        <v>50</v>
      </c>
      <c r="C41" s="466"/>
      <c r="F41" s="221"/>
      <c r="G41" s="221"/>
      <c r="H41" s="118"/>
      <c r="I41" s="133">
        <v>0</v>
      </c>
      <c r="J41" s="118"/>
      <c r="K41" s="118">
        <f t="shared" si="3"/>
        <v>0</v>
      </c>
    </row>
    <row r="42" spans="1:11" ht="18" customHeight="1" x14ac:dyDescent="0.2">
      <c r="A42" s="435" t="s">
        <v>89</v>
      </c>
      <c r="B42" s="419" t="s">
        <v>11</v>
      </c>
      <c r="F42" s="221">
        <v>7352.5413699999999</v>
      </c>
      <c r="G42" s="221">
        <v>1170.3425</v>
      </c>
      <c r="H42" s="118">
        <v>419173.23710507998</v>
      </c>
      <c r="I42" s="133">
        <v>0</v>
      </c>
      <c r="J42" s="118">
        <v>1001.8623252</v>
      </c>
      <c r="K42" s="118">
        <f t="shared" si="3"/>
        <v>418171.37477987999</v>
      </c>
    </row>
    <row r="43" spans="1:11" ht="18" customHeight="1" x14ac:dyDescent="0.2">
      <c r="A43" s="435" t="s">
        <v>90</v>
      </c>
      <c r="B43" s="467" t="s">
        <v>10</v>
      </c>
      <c r="C43" s="468"/>
      <c r="D43" s="468"/>
      <c r="F43" s="221"/>
      <c r="G43" s="221"/>
      <c r="H43" s="118"/>
      <c r="I43" s="133">
        <v>0</v>
      </c>
      <c r="J43" s="118"/>
      <c r="K43" s="118">
        <f t="shared" si="3"/>
        <v>0</v>
      </c>
    </row>
    <row r="44" spans="1:11" ht="18" customHeight="1" x14ac:dyDescent="0.2">
      <c r="A44" s="435" t="s">
        <v>91</v>
      </c>
      <c r="B44" s="456"/>
      <c r="C44" s="457"/>
      <c r="D44" s="458"/>
      <c r="F44" s="407"/>
      <c r="G44" s="407"/>
      <c r="H44" s="407"/>
      <c r="I44" s="408">
        <v>0</v>
      </c>
      <c r="J44" s="407"/>
      <c r="K44" s="134">
        <f t="shared" si="3"/>
        <v>0</v>
      </c>
    </row>
    <row r="45" spans="1:11" ht="18" customHeight="1" x14ac:dyDescent="0.2">
      <c r="A45" s="435" t="s">
        <v>139</v>
      </c>
      <c r="B45" s="456"/>
      <c r="C45" s="457"/>
      <c r="D45" s="458"/>
      <c r="F45" s="221"/>
      <c r="G45" s="221"/>
      <c r="H45" s="118"/>
      <c r="I45" s="133">
        <v>0</v>
      </c>
      <c r="J45" s="118"/>
      <c r="K45" s="118">
        <f t="shared" si="3"/>
        <v>0</v>
      </c>
    </row>
    <row r="46" spans="1:11" ht="18" customHeight="1" x14ac:dyDescent="0.2">
      <c r="A46" s="435" t="s">
        <v>140</v>
      </c>
      <c r="B46" s="456"/>
      <c r="C46" s="457"/>
      <c r="D46" s="458"/>
      <c r="F46" s="221"/>
      <c r="G46" s="221"/>
      <c r="H46" s="118"/>
      <c r="I46" s="133">
        <v>0</v>
      </c>
      <c r="J46" s="118"/>
      <c r="K46" s="118">
        <f t="shared" si="3"/>
        <v>0</v>
      </c>
    </row>
    <row r="47" spans="1:11" ht="18" customHeight="1" x14ac:dyDescent="0.2">
      <c r="A47" s="435" t="s">
        <v>141</v>
      </c>
      <c r="B47" s="456"/>
      <c r="C47" s="457"/>
      <c r="D47" s="458"/>
      <c r="F47" s="221"/>
      <c r="G47" s="221"/>
      <c r="H47" s="118"/>
      <c r="I47" s="133">
        <v>0</v>
      </c>
      <c r="J47" s="118"/>
      <c r="K47" s="118">
        <f t="shared" si="3"/>
        <v>0</v>
      </c>
    </row>
    <row r="49" spans="1:11" ht="18" customHeight="1" x14ac:dyDescent="0.2">
      <c r="A49" s="455" t="s">
        <v>142</v>
      </c>
      <c r="B49" s="421" t="s">
        <v>143</v>
      </c>
      <c r="E49" s="421" t="s">
        <v>7</v>
      </c>
      <c r="F49" s="409">
        <f t="shared" ref="F49:K49" si="4">SUM(F40:F47)</f>
        <v>7352.5413699999999</v>
      </c>
      <c r="G49" s="409">
        <f t="shared" si="4"/>
        <v>1170.3425</v>
      </c>
      <c r="H49" s="118">
        <f t="shared" si="4"/>
        <v>419173.23710507998</v>
      </c>
      <c r="I49" s="118">
        <f t="shared" si="4"/>
        <v>0</v>
      </c>
      <c r="J49" s="118">
        <f t="shared" si="4"/>
        <v>1001.8623252</v>
      </c>
      <c r="K49" s="118">
        <f t="shared" si="4"/>
        <v>418171.37477987999</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10" t="s">
        <v>187</v>
      </c>
      <c r="C53" s="411"/>
      <c r="D53" s="412"/>
      <c r="F53" s="221"/>
      <c r="G53" s="221"/>
      <c r="H53" s="118"/>
      <c r="I53" s="133">
        <v>0</v>
      </c>
      <c r="J53" s="118"/>
      <c r="K53" s="141">
        <f>H53+I53-J53</f>
        <v>0</v>
      </c>
    </row>
    <row r="54" spans="1:11" ht="18" customHeight="1" x14ac:dyDescent="0.2">
      <c r="A54" s="435" t="s">
        <v>93</v>
      </c>
      <c r="B54" s="420" t="s">
        <v>188</v>
      </c>
      <c r="C54" s="414"/>
      <c r="D54" s="415"/>
      <c r="F54" s="221">
        <v>22880</v>
      </c>
      <c r="G54" s="221"/>
      <c r="H54" s="118">
        <v>552237</v>
      </c>
      <c r="I54" s="133">
        <v>0</v>
      </c>
      <c r="J54" s="118"/>
      <c r="K54" s="141">
        <f t="shared" ref="K54:K62" si="5">H54+I54-J54</f>
        <v>552237</v>
      </c>
    </row>
    <row r="55" spans="1:11" ht="18" customHeight="1" x14ac:dyDescent="0.2">
      <c r="A55" s="435" t="s">
        <v>94</v>
      </c>
      <c r="B55" s="410" t="s">
        <v>189</v>
      </c>
      <c r="C55" s="411"/>
      <c r="D55" s="412"/>
      <c r="F55" s="221"/>
      <c r="G55" s="221"/>
      <c r="H55" s="118"/>
      <c r="I55" s="133">
        <v>0</v>
      </c>
      <c r="J55" s="118"/>
      <c r="K55" s="141">
        <f t="shared" si="5"/>
        <v>0</v>
      </c>
    </row>
    <row r="56" spans="1:11" ht="18" customHeight="1" x14ac:dyDescent="0.2">
      <c r="A56" s="435" t="s">
        <v>95</v>
      </c>
      <c r="B56" s="410" t="s">
        <v>190</v>
      </c>
      <c r="C56" s="411"/>
      <c r="D56" s="412"/>
      <c r="F56" s="221"/>
      <c r="G56" s="221"/>
      <c r="H56" s="118"/>
      <c r="I56" s="133">
        <v>0</v>
      </c>
      <c r="J56" s="118"/>
      <c r="K56" s="141">
        <f t="shared" si="5"/>
        <v>0</v>
      </c>
    </row>
    <row r="57" spans="1:11" ht="18" customHeight="1" x14ac:dyDescent="0.2">
      <c r="A57" s="435" t="s">
        <v>96</v>
      </c>
      <c r="B57" s="410" t="s">
        <v>191</v>
      </c>
      <c r="C57" s="411"/>
      <c r="D57" s="412"/>
      <c r="F57" s="221"/>
      <c r="G57" s="221"/>
      <c r="H57" s="118">
        <v>1550795.6669999999</v>
      </c>
      <c r="I57" s="133">
        <v>0</v>
      </c>
      <c r="J57" s="118"/>
      <c r="K57" s="141">
        <f t="shared" si="5"/>
        <v>1550795.6669999999</v>
      </c>
    </row>
    <row r="58" spans="1:11" ht="18" customHeight="1" x14ac:dyDescent="0.2">
      <c r="A58" s="435" t="s">
        <v>97</v>
      </c>
      <c r="B58" s="410"/>
      <c r="C58" s="411"/>
      <c r="D58" s="412"/>
      <c r="F58" s="221"/>
      <c r="G58" s="221"/>
      <c r="H58" s="118"/>
      <c r="I58" s="133">
        <v>0</v>
      </c>
      <c r="J58" s="118"/>
      <c r="K58" s="141">
        <f t="shared" si="5"/>
        <v>0</v>
      </c>
    </row>
    <row r="59" spans="1:11" ht="18" customHeight="1" x14ac:dyDescent="0.2">
      <c r="A59" s="435" t="s">
        <v>98</v>
      </c>
      <c r="B59" s="410"/>
      <c r="C59" s="411"/>
      <c r="D59" s="412"/>
      <c r="F59" s="221"/>
      <c r="G59" s="221"/>
      <c r="H59" s="118"/>
      <c r="I59" s="133">
        <v>0</v>
      </c>
      <c r="J59" s="118"/>
      <c r="K59" s="141">
        <f t="shared" si="5"/>
        <v>0</v>
      </c>
    </row>
    <row r="60" spans="1:11" ht="18" customHeight="1" x14ac:dyDescent="0.2">
      <c r="A60" s="435" t="s">
        <v>99</v>
      </c>
      <c r="B60" s="410"/>
      <c r="C60" s="411"/>
      <c r="D60" s="412"/>
      <c r="F60" s="221"/>
      <c r="G60" s="221"/>
      <c r="H60" s="118"/>
      <c r="I60" s="133">
        <v>0</v>
      </c>
      <c r="J60" s="118"/>
      <c r="K60" s="141">
        <f t="shared" si="5"/>
        <v>0</v>
      </c>
    </row>
    <row r="61" spans="1:11" ht="18" customHeight="1" x14ac:dyDescent="0.2">
      <c r="A61" s="435" t="s">
        <v>100</v>
      </c>
      <c r="B61" s="410"/>
      <c r="C61" s="411"/>
      <c r="D61" s="412"/>
      <c r="F61" s="221"/>
      <c r="G61" s="221"/>
      <c r="H61" s="118"/>
      <c r="I61" s="133">
        <v>0</v>
      </c>
      <c r="J61" s="118"/>
      <c r="K61" s="141">
        <f t="shared" si="5"/>
        <v>0</v>
      </c>
    </row>
    <row r="62" spans="1:11" ht="18" customHeight="1" x14ac:dyDescent="0.2">
      <c r="A62" s="435" t="s">
        <v>101</v>
      </c>
      <c r="B62" s="410"/>
      <c r="C62" s="411"/>
      <c r="D62" s="412"/>
      <c r="F62" s="221"/>
      <c r="G62" s="221"/>
      <c r="H62" s="118"/>
      <c r="I62" s="133">
        <v>0</v>
      </c>
      <c r="J62" s="118"/>
      <c r="K62" s="141">
        <f t="shared" si="5"/>
        <v>0</v>
      </c>
    </row>
    <row r="63" spans="1:11" ht="18" customHeight="1" x14ac:dyDescent="0.2">
      <c r="A63" s="435"/>
      <c r="I63" s="129"/>
    </row>
    <row r="64" spans="1:11" ht="18" customHeight="1" x14ac:dyDescent="0.2">
      <c r="A64" s="435" t="s">
        <v>144</v>
      </c>
      <c r="B64" s="421" t="s">
        <v>145</v>
      </c>
      <c r="E64" s="421" t="s">
        <v>7</v>
      </c>
      <c r="F64" s="221">
        <f t="shared" ref="F64:K64" si="6">SUM(F53:F62)</f>
        <v>22880</v>
      </c>
      <c r="G64" s="221">
        <f t="shared" si="6"/>
        <v>0</v>
      </c>
      <c r="H64" s="118">
        <f t="shared" si="6"/>
        <v>2103032.6669999999</v>
      </c>
      <c r="I64" s="118">
        <f t="shared" si="6"/>
        <v>0</v>
      </c>
      <c r="J64" s="118">
        <f t="shared" si="6"/>
        <v>0</v>
      </c>
      <c r="K64" s="118">
        <f t="shared" si="6"/>
        <v>2103032.6669999999</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7">SUM(F68:F72)</f>
        <v>0</v>
      </c>
      <c r="G74" s="122">
        <f t="shared" si="7"/>
        <v>0</v>
      </c>
      <c r="H74" s="122">
        <f t="shared" si="7"/>
        <v>0</v>
      </c>
      <c r="I74" s="133">
        <f t="shared" si="7"/>
        <v>0</v>
      </c>
      <c r="J74" s="122">
        <f t="shared" si="7"/>
        <v>0</v>
      </c>
      <c r="K74" s="118">
        <f t="shared" si="7"/>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c r="G77" s="221"/>
      <c r="H77" s="118">
        <v>48696.87934</v>
      </c>
      <c r="I77" s="133">
        <v>0</v>
      </c>
      <c r="J77" s="118"/>
      <c r="K77" s="118">
        <f>(H77+I77)-J77</f>
        <v>48696.87934</v>
      </c>
    </row>
    <row r="78" spans="1:11" ht="18" customHeight="1" x14ac:dyDescent="0.2">
      <c r="A78" s="435" t="s">
        <v>108</v>
      </c>
      <c r="B78" s="419" t="s">
        <v>55</v>
      </c>
      <c r="F78" s="221"/>
      <c r="G78" s="221"/>
      <c r="H78" s="118"/>
      <c r="I78" s="133">
        <v>0</v>
      </c>
      <c r="J78" s="118"/>
      <c r="K78" s="118">
        <f>(H78+I78)-J78</f>
        <v>0</v>
      </c>
    </row>
    <row r="79" spans="1:11" ht="18" customHeight="1" x14ac:dyDescent="0.2">
      <c r="A79" s="435" t="s">
        <v>109</v>
      </c>
      <c r="B79" s="419" t="s">
        <v>13</v>
      </c>
      <c r="F79" s="221"/>
      <c r="G79" s="221"/>
      <c r="H79" s="118"/>
      <c r="I79" s="133">
        <v>0</v>
      </c>
      <c r="J79" s="118"/>
      <c r="K79" s="118">
        <f>(H79+I79)-J79</f>
        <v>0</v>
      </c>
    </row>
    <row r="80" spans="1:11" ht="18" customHeight="1" x14ac:dyDescent="0.2">
      <c r="A80" s="435" t="s">
        <v>110</v>
      </c>
      <c r="B80" s="419" t="s">
        <v>56</v>
      </c>
      <c r="F80" s="221"/>
      <c r="G80" s="221"/>
      <c r="H80" s="118"/>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8">SUM(F77:F80)</f>
        <v>0</v>
      </c>
      <c r="G82" s="122">
        <f t="shared" si="8"/>
        <v>0</v>
      </c>
      <c r="H82" s="118">
        <f t="shared" si="8"/>
        <v>48696.87934</v>
      </c>
      <c r="I82" s="118">
        <f t="shared" si="8"/>
        <v>0</v>
      </c>
      <c r="J82" s="118">
        <f t="shared" si="8"/>
        <v>0</v>
      </c>
      <c r="K82" s="118">
        <f t="shared" si="8"/>
        <v>48696.87934</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c r="G86" s="221"/>
      <c r="H86" s="118">
        <v>2673.2981915867308</v>
      </c>
      <c r="I86" s="133">
        <f t="shared" ref="I86:I96" si="9">H86*F$114</f>
        <v>3071.2077598272558</v>
      </c>
      <c r="J86" s="118"/>
      <c r="K86" s="118">
        <f t="shared" ref="K86:K96" si="10">(H86+I86)-J86</f>
        <v>5744.5059514139866</v>
      </c>
    </row>
    <row r="87" spans="1:11" ht="18" customHeight="1" x14ac:dyDescent="0.2">
      <c r="A87" s="435" t="s">
        <v>114</v>
      </c>
      <c r="B87" s="419" t="s">
        <v>14</v>
      </c>
      <c r="F87" s="221"/>
      <c r="G87" s="221"/>
      <c r="H87" s="118"/>
      <c r="I87" s="133">
        <f t="shared" si="9"/>
        <v>0</v>
      </c>
      <c r="J87" s="118"/>
      <c r="K87" s="118">
        <f t="shared" si="10"/>
        <v>0</v>
      </c>
    </row>
    <row r="88" spans="1:11" ht="18" customHeight="1" x14ac:dyDescent="0.2">
      <c r="A88" s="435" t="s">
        <v>115</v>
      </c>
      <c r="B88" s="419" t="s">
        <v>116</v>
      </c>
      <c r="F88" s="221">
        <v>359.6</v>
      </c>
      <c r="G88" s="221"/>
      <c r="H88" s="118">
        <v>16672.8</v>
      </c>
      <c r="I88" s="133">
        <f t="shared" si="9"/>
        <v>19154.47850120112</v>
      </c>
      <c r="J88" s="118"/>
      <c r="K88" s="118">
        <f t="shared" si="10"/>
        <v>35827.278501201115</v>
      </c>
    </row>
    <row r="89" spans="1:11" ht="18" customHeight="1" x14ac:dyDescent="0.2">
      <c r="A89" s="435" t="s">
        <v>117</v>
      </c>
      <c r="B89" s="419" t="s">
        <v>58</v>
      </c>
      <c r="F89" s="221"/>
      <c r="G89" s="221"/>
      <c r="H89" s="118"/>
      <c r="I89" s="133">
        <f t="shared" si="9"/>
        <v>0</v>
      </c>
      <c r="J89" s="118"/>
      <c r="K89" s="118">
        <f t="shared" si="10"/>
        <v>0</v>
      </c>
    </row>
    <row r="90" spans="1:11" ht="18" customHeight="1" x14ac:dyDescent="0.2">
      <c r="A90" s="435" t="s">
        <v>118</v>
      </c>
      <c r="B90" s="465" t="s">
        <v>59</v>
      </c>
      <c r="C90" s="466"/>
      <c r="F90" s="221"/>
      <c r="G90" s="221"/>
      <c r="H90" s="118"/>
      <c r="I90" s="133">
        <f t="shared" si="9"/>
        <v>0</v>
      </c>
      <c r="J90" s="118"/>
      <c r="K90" s="118">
        <f t="shared" si="10"/>
        <v>0</v>
      </c>
    </row>
    <row r="91" spans="1:11" ht="18" customHeight="1" x14ac:dyDescent="0.2">
      <c r="A91" s="435" t="s">
        <v>119</v>
      </c>
      <c r="B91" s="419" t="s">
        <v>60</v>
      </c>
      <c r="F91" s="221">
        <v>86.258172000000002</v>
      </c>
      <c r="G91" s="221"/>
      <c r="H91" s="118">
        <v>5748.5144006399996</v>
      </c>
      <c r="I91" s="133">
        <f t="shared" si="9"/>
        <v>6604.1574001309873</v>
      </c>
      <c r="J91" s="118"/>
      <c r="K91" s="118">
        <f t="shared" si="10"/>
        <v>12352.671800770986</v>
      </c>
    </row>
    <row r="92" spans="1:11" ht="18" customHeight="1" x14ac:dyDescent="0.2">
      <c r="A92" s="435" t="s">
        <v>120</v>
      </c>
      <c r="B92" s="419" t="s">
        <v>121</v>
      </c>
      <c r="F92" s="257">
        <v>20.540674201464274</v>
      </c>
      <c r="G92" s="257"/>
      <c r="H92" s="429">
        <v>56981.837201999995</v>
      </c>
      <c r="I92" s="133">
        <f t="shared" si="9"/>
        <v>65463.35202513382</v>
      </c>
      <c r="J92" s="429"/>
      <c r="K92" s="118">
        <f t="shared" si="10"/>
        <v>122445.18922713381</v>
      </c>
    </row>
    <row r="93" spans="1:11" ht="18" customHeight="1" x14ac:dyDescent="0.2">
      <c r="A93" s="435" t="s">
        <v>122</v>
      </c>
      <c r="B93" s="419" t="s">
        <v>123</v>
      </c>
      <c r="F93" s="221"/>
      <c r="G93" s="221"/>
      <c r="H93" s="118"/>
      <c r="I93" s="133">
        <f t="shared" si="9"/>
        <v>0</v>
      </c>
      <c r="J93" s="118"/>
      <c r="K93" s="118">
        <f t="shared" si="10"/>
        <v>0</v>
      </c>
    </row>
    <row r="94" spans="1:11" ht="18" customHeight="1" x14ac:dyDescent="0.2">
      <c r="A94" s="435" t="s">
        <v>124</v>
      </c>
      <c r="B94" s="418"/>
      <c r="C94" s="417"/>
      <c r="D94" s="412"/>
      <c r="F94" s="221"/>
      <c r="G94" s="221"/>
      <c r="H94" s="118"/>
      <c r="I94" s="133">
        <f t="shared" si="9"/>
        <v>0</v>
      </c>
      <c r="J94" s="118"/>
      <c r="K94" s="118">
        <f t="shared" si="10"/>
        <v>0</v>
      </c>
    </row>
    <row r="95" spans="1:11" ht="18" customHeight="1" x14ac:dyDescent="0.2">
      <c r="A95" s="435" t="s">
        <v>125</v>
      </c>
      <c r="B95" s="418"/>
      <c r="C95" s="417"/>
      <c r="D95" s="412"/>
      <c r="F95" s="221"/>
      <c r="G95" s="221"/>
      <c r="H95" s="118"/>
      <c r="I95" s="133">
        <f t="shared" si="9"/>
        <v>0</v>
      </c>
      <c r="J95" s="118"/>
      <c r="K95" s="118">
        <f t="shared" si="10"/>
        <v>0</v>
      </c>
    </row>
    <row r="96" spans="1:11" ht="18" customHeight="1" x14ac:dyDescent="0.2">
      <c r="A96" s="435" t="s">
        <v>126</v>
      </c>
      <c r="B96" s="418"/>
      <c r="C96" s="417"/>
      <c r="D96" s="412"/>
      <c r="F96" s="221"/>
      <c r="G96" s="221"/>
      <c r="H96" s="118"/>
      <c r="I96" s="133">
        <f t="shared" si="9"/>
        <v>0</v>
      </c>
      <c r="J96" s="118"/>
      <c r="K96" s="118">
        <f t="shared" si="10"/>
        <v>0</v>
      </c>
    </row>
    <row r="97" spans="1:11" ht="18" customHeight="1" x14ac:dyDescent="0.2">
      <c r="A97" s="435"/>
      <c r="B97" s="419"/>
    </row>
    <row r="98" spans="1:11" ht="18" customHeight="1" x14ac:dyDescent="0.2">
      <c r="A98" s="455" t="s">
        <v>150</v>
      </c>
      <c r="B98" s="421" t="s">
        <v>151</v>
      </c>
      <c r="E98" s="421" t="s">
        <v>7</v>
      </c>
      <c r="F98" s="221">
        <f t="shared" ref="F98:K98" si="11">SUM(F86:F96)</f>
        <v>466.39884620146432</v>
      </c>
      <c r="G98" s="221">
        <f t="shared" si="11"/>
        <v>0</v>
      </c>
      <c r="H98" s="221">
        <f t="shared" si="11"/>
        <v>82076.449794226734</v>
      </c>
      <c r="I98" s="221">
        <f t="shared" si="11"/>
        <v>94293.195686293184</v>
      </c>
      <c r="J98" s="221">
        <f t="shared" si="11"/>
        <v>0</v>
      </c>
      <c r="K98" s="221">
        <f t="shared" si="11"/>
        <v>176369.64548051992</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518.88419699999997</v>
      </c>
      <c r="G102" s="221"/>
      <c r="H102" s="118">
        <v>27568.176679769997</v>
      </c>
      <c r="I102" s="133">
        <f>H102*F$114</f>
        <v>31671.587707521743</v>
      </c>
      <c r="J102" s="118"/>
      <c r="K102" s="118">
        <f>(H102+I102)-J102</f>
        <v>59239.76438729174</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t="s">
        <v>192</v>
      </c>
      <c r="C104" s="417"/>
      <c r="D104" s="412"/>
      <c r="F104" s="221">
        <v>233.36580000000004</v>
      </c>
      <c r="G104" s="221"/>
      <c r="H104" s="118">
        <v>11273.081761199999</v>
      </c>
      <c r="I104" s="133">
        <f>H104*F$114</f>
        <v>12951.034153662724</v>
      </c>
      <c r="J104" s="118"/>
      <c r="K104" s="118">
        <f>(H104+I104)-J104</f>
        <v>24224.115914862723</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2">SUM(F102:F106)</f>
        <v>752.24999700000001</v>
      </c>
      <c r="G108" s="221">
        <f t="shared" si="12"/>
        <v>0</v>
      </c>
      <c r="H108" s="118">
        <f t="shared" si="12"/>
        <v>38841.258440969992</v>
      </c>
      <c r="I108" s="118">
        <f t="shared" si="12"/>
        <v>44622.621861184467</v>
      </c>
      <c r="J108" s="118">
        <f t="shared" si="12"/>
        <v>0</v>
      </c>
      <c r="K108" s="118">
        <f t="shared" si="12"/>
        <v>83463.880302154459</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1415734.0699999998</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1.1488459347680726</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40251978</v>
      </c>
    </row>
    <row r="118" spans="1:6" ht="18" customHeight="1" x14ac:dyDescent="0.2">
      <c r="A118" s="435" t="s">
        <v>173</v>
      </c>
      <c r="B118" s="259" t="s">
        <v>18</v>
      </c>
      <c r="F118" s="118">
        <v>6313442</v>
      </c>
    </row>
    <row r="119" spans="1:6" ht="18" customHeight="1" x14ac:dyDescent="0.2">
      <c r="A119" s="435" t="s">
        <v>174</v>
      </c>
      <c r="B119" s="421" t="s">
        <v>19</v>
      </c>
      <c r="F119" s="118">
        <f>SUM(F117:F118)</f>
        <v>46565420</v>
      </c>
    </row>
    <row r="120" spans="1:6" ht="18" customHeight="1" x14ac:dyDescent="0.2">
      <c r="A120" s="435"/>
      <c r="B120" s="421"/>
    </row>
    <row r="121" spans="1:6" ht="18" customHeight="1" x14ac:dyDescent="0.2">
      <c r="A121" s="435" t="s">
        <v>167</v>
      </c>
      <c r="B121" s="421" t="s">
        <v>36</v>
      </c>
      <c r="F121" s="118">
        <v>49561380</v>
      </c>
    </row>
    <row r="122" spans="1:6" ht="18" customHeight="1" x14ac:dyDescent="0.2">
      <c r="A122" s="435"/>
    </row>
    <row r="123" spans="1:6" ht="18" customHeight="1" x14ac:dyDescent="0.2">
      <c r="A123" s="435" t="s">
        <v>175</v>
      </c>
      <c r="B123" s="421" t="s">
        <v>20</v>
      </c>
      <c r="F123" s="118">
        <f>+F119-F121</f>
        <v>-2995960</v>
      </c>
    </row>
    <row r="124" spans="1:6" ht="18" customHeight="1" x14ac:dyDescent="0.2">
      <c r="A124" s="435"/>
    </row>
    <row r="125" spans="1:6" ht="18" customHeight="1" x14ac:dyDescent="0.2">
      <c r="A125" s="435" t="s">
        <v>176</v>
      </c>
      <c r="B125" s="421" t="s">
        <v>21</v>
      </c>
      <c r="F125" s="118">
        <v>76913</v>
      </c>
    </row>
    <row r="126" spans="1:6" ht="18" customHeight="1" x14ac:dyDescent="0.2">
      <c r="A126" s="435"/>
    </row>
    <row r="127" spans="1:6" ht="18" customHeight="1" x14ac:dyDescent="0.2">
      <c r="A127" s="435" t="s">
        <v>177</v>
      </c>
      <c r="B127" s="421" t="s">
        <v>22</v>
      </c>
      <c r="F127" s="118">
        <f>F123+F125</f>
        <v>-2919047</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4">F36</f>
        <v>806.6446085575526</v>
      </c>
      <c r="G141" s="422">
        <f t="shared" si="14"/>
        <v>6704.6007282551536</v>
      </c>
      <c r="H141" s="422">
        <f t="shared" si="14"/>
        <v>495114.14610289701</v>
      </c>
      <c r="I141" s="422">
        <f t="shared" si="14"/>
        <v>563736.97244462022</v>
      </c>
      <c r="J141" s="422">
        <f t="shared" si="14"/>
        <v>4980.3133351800006</v>
      </c>
      <c r="K141" s="422">
        <f t="shared" si="14"/>
        <v>1053870.8052123373</v>
      </c>
    </row>
    <row r="142" spans="1:11" ht="18" customHeight="1" x14ac:dyDescent="0.2">
      <c r="A142" s="435" t="s">
        <v>142</v>
      </c>
      <c r="B142" s="421" t="s">
        <v>65</v>
      </c>
      <c r="F142" s="422">
        <f t="shared" ref="F142:K142" si="15">F49</f>
        <v>7352.5413699999999</v>
      </c>
      <c r="G142" s="422">
        <f t="shared" si="15"/>
        <v>1170.3425</v>
      </c>
      <c r="H142" s="422">
        <f t="shared" si="15"/>
        <v>419173.23710507998</v>
      </c>
      <c r="I142" s="422">
        <f t="shared" si="15"/>
        <v>0</v>
      </c>
      <c r="J142" s="422">
        <f t="shared" si="15"/>
        <v>1001.8623252</v>
      </c>
      <c r="K142" s="422">
        <f t="shared" si="15"/>
        <v>418171.37477987999</v>
      </c>
    </row>
    <row r="143" spans="1:11" ht="18" customHeight="1" x14ac:dyDescent="0.2">
      <c r="A143" s="435" t="s">
        <v>144</v>
      </c>
      <c r="B143" s="421" t="s">
        <v>66</v>
      </c>
      <c r="F143" s="422">
        <f t="shared" ref="F143:K143" si="16">F64</f>
        <v>22880</v>
      </c>
      <c r="G143" s="422">
        <f t="shared" si="16"/>
        <v>0</v>
      </c>
      <c r="H143" s="422">
        <f t="shared" si="16"/>
        <v>2103032.6669999999</v>
      </c>
      <c r="I143" s="422">
        <f t="shared" si="16"/>
        <v>0</v>
      </c>
      <c r="J143" s="422">
        <f t="shared" si="16"/>
        <v>0</v>
      </c>
      <c r="K143" s="422">
        <f t="shared" si="16"/>
        <v>2103032.6669999999</v>
      </c>
    </row>
    <row r="144" spans="1:11" ht="18" customHeight="1" x14ac:dyDescent="0.2">
      <c r="A144" s="435" t="s">
        <v>146</v>
      </c>
      <c r="B144" s="421" t="s">
        <v>67</v>
      </c>
      <c r="F144" s="422">
        <f t="shared" ref="F144:K144" si="17">F74</f>
        <v>0</v>
      </c>
      <c r="G144" s="422">
        <f t="shared" si="17"/>
        <v>0</v>
      </c>
      <c r="H144" s="422">
        <f t="shared" si="17"/>
        <v>0</v>
      </c>
      <c r="I144" s="422">
        <f t="shared" si="17"/>
        <v>0</v>
      </c>
      <c r="J144" s="422">
        <f t="shared" si="17"/>
        <v>0</v>
      </c>
      <c r="K144" s="422">
        <f t="shared" si="17"/>
        <v>0</v>
      </c>
    </row>
    <row r="145" spans="1:11" ht="18" customHeight="1" x14ac:dyDescent="0.2">
      <c r="A145" s="435" t="s">
        <v>148</v>
      </c>
      <c r="B145" s="421" t="s">
        <v>68</v>
      </c>
      <c r="F145" s="422">
        <f t="shared" ref="F145:K145" si="18">F82</f>
        <v>0</v>
      </c>
      <c r="G145" s="422">
        <f t="shared" si="18"/>
        <v>0</v>
      </c>
      <c r="H145" s="422">
        <f t="shared" si="18"/>
        <v>48696.87934</v>
      </c>
      <c r="I145" s="422">
        <f t="shared" si="18"/>
        <v>0</v>
      </c>
      <c r="J145" s="422">
        <f t="shared" si="18"/>
        <v>0</v>
      </c>
      <c r="K145" s="422">
        <f t="shared" si="18"/>
        <v>48696.87934</v>
      </c>
    </row>
    <row r="146" spans="1:11" ht="18" customHeight="1" x14ac:dyDescent="0.2">
      <c r="A146" s="435" t="s">
        <v>150</v>
      </c>
      <c r="B146" s="421" t="s">
        <v>69</v>
      </c>
      <c r="F146" s="422">
        <f t="shared" ref="F146:K146" si="19">F98</f>
        <v>466.39884620146432</v>
      </c>
      <c r="G146" s="422">
        <f t="shared" si="19"/>
        <v>0</v>
      </c>
      <c r="H146" s="422">
        <f t="shared" si="19"/>
        <v>82076.449794226734</v>
      </c>
      <c r="I146" s="422">
        <f t="shared" si="19"/>
        <v>94293.195686293184</v>
      </c>
      <c r="J146" s="422">
        <f t="shared" si="19"/>
        <v>0</v>
      </c>
      <c r="K146" s="422">
        <f t="shared" si="19"/>
        <v>176369.64548051992</v>
      </c>
    </row>
    <row r="147" spans="1:11" ht="18" customHeight="1" x14ac:dyDescent="0.2">
      <c r="A147" s="435" t="s">
        <v>153</v>
      </c>
      <c r="B147" s="421" t="s">
        <v>61</v>
      </c>
      <c r="F147" s="221">
        <f t="shared" ref="F147:K147" si="20">F108</f>
        <v>752.24999700000001</v>
      </c>
      <c r="G147" s="221">
        <f t="shared" si="20"/>
        <v>0</v>
      </c>
      <c r="H147" s="221">
        <f t="shared" si="20"/>
        <v>38841.258440969992</v>
      </c>
      <c r="I147" s="221">
        <f t="shared" si="20"/>
        <v>44622.621861184467</v>
      </c>
      <c r="J147" s="221">
        <f t="shared" si="20"/>
        <v>0</v>
      </c>
      <c r="K147" s="221">
        <f t="shared" si="20"/>
        <v>83463.880302154459</v>
      </c>
    </row>
    <row r="148" spans="1:11" ht="18" customHeight="1" x14ac:dyDescent="0.2">
      <c r="A148" s="435" t="s">
        <v>155</v>
      </c>
      <c r="B148" s="421" t="s">
        <v>70</v>
      </c>
      <c r="F148" s="485" t="s">
        <v>73</v>
      </c>
      <c r="G148" s="485" t="s">
        <v>73</v>
      </c>
      <c r="H148" s="486" t="s">
        <v>73</v>
      </c>
      <c r="I148" s="486" t="s">
        <v>73</v>
      </c>
      <c r="J148" s="486" t="s">
        <v>73</v>
      </c>
      <c r="K148" s="423">
        <f>F111</f>
        <v>1415734.0699999998</v>
      </c>
    </row>
    <row r="149" spans="1:11" ht="18" customHeight="1" x14ac:dyDescent="0.2">
      <c r="A149" s="435" t="s">
        <v>163</v>
      </c>
      <c r="B149" s="421" t="s">
        <v>71</v>
      </c>
      <c r="F149" s="221">
        <f t="shared" ref="F149:K149" si="21">F137</f>
        <v>0</v>
      </c>
      <c r="G149" s="221">
        <f t="shared" si="21"/>
        <v>0</v>
      </c>
      <c r="H149" s="221">
        <f t="shared" si="21"/>
        <v>0</v>
      </c>
      <c r="I149" s="221">
        <f t="shared" si="21"/>
        <v>0</v>
      </c>
      <c r="J149" s="221">
        <f t="shared" si="21"/>
        <v>0</v>
      </c>
      <c r="K149" s="221">
        <f t="shared" si="21"/>
        <v>0</v>
      </c>
    </row>
    <row r="150" spans="1:11" ht="18" customHeight="1" x14ac:dyDescent="0.2">
      <c r="A150" s="435" t="s">
        <v>185</v>
      </c>
      <c r="B150" s="421" t="s">
        <v>186</v>
      </c>
      <c r="F150" s="485" t="s">
        <v>73</v>
      </c>
      <c r="G150" s="485" t="s">
        <v>73</v>
      </c>
      <c r="H150" s="221">
        <f>H18</f>
        <v>0</v>
      </c>
      <c r="I150" s="221">
        <f>I18</f>
        <v>0</v>
      </c>
      <c r="J150" s="221">
        <f>J18</f>
        <v>0</v>
      </c>
      <c r="K150" s="221">
        <f>K18</f>
        <v>0</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2">SUM(F141:F150)</f>
        <v>32257.834821759014</v>
      </c>
      <c r="G152" s="487">
        <f t="shared" si="22"/>
        <v>7874.9432282551534</v>
      </c>
      <c r="H152" s="487">
        <f t="shared" si="22"/>
        <v>3186934.6377831739</v>
      </c>
      <c r="I152" s="487">
        <f t="shared" si="22"/>
        <v>702652.78999209788</v>
      </c>
      <c r="J152" s="487">
        <f t="shared" si="22"/>
        <v>5982.1756603800004</v>
      </c>
      <c r="K152" s="487">
        <f t="shared" si="22"/>
        <v>5299339.3221148914</v>
      </c>
    </row>
    <row r="154" spans="1:11" ht="18" customHeight="1" x14ac:dyDescent="0.2">
      <c r="A154" s="455" t="s">
        <v>168</v>
      </c>
      <c r="B154" s="421" t="s">
        <v>28</v>
      </c>
      <c r="F154" s="140">
        <f>K152/F121</f>
        <v>0.10692477332380357</v>
      </c>
    </row>
    <row r="155" spans="1:11" ht="18" customHeight="1" x14ac:dyDescent="0.2">
      <c r="A155" s="455" t="s">
        <v>169</v>
      </c>
      <c r="B155" s="421" t="s">
        <v>72</v>
      </c>
      <c r="F155" s="140">
        <f>K152/F127</f>
        <v>-1.8154347367873458</v>
      </c>
      <c r="G155" s="421"/>
    </row>
    <row r="156" spans="1:11" ht="18" customHeight="1" x14ac:dyDescent="0.2">
      <c r="G156" s="421"/>
    </row>
  </sheetData>
  <sheetProtection algorithmName="SHA-512" hashValue="04gNJSFRw2ONn+UKdRk+c5cIUgjTkHqVKTtbO562KPpFIAGV3EicPmnC9OCK4Lqh/HG9eADwT06hqq1clM5r1Q==" saltValue="4mDqrdaR59xd0Kn6d+GJjw==" spinCount="100000" sheet="1" objects="1" scenarios="1"/>
  <mergeCells count="37">
    <mergeCell ref="B103:C103"/>
    <mergeCell ref="B96:D96"/>
    <mergeCell ref="B95:D95"/>
    <mergeCell ref="B134:D134"/>
    <mergeCell ref="B135:D135"/>
    <mergeCell ref="B133:D133"/>
    <mergeCell ref="B104:D104"/>
    <mergeCell ref="B105:D105"/>
    <mergeCell ref="B106:D106"/>
    <mergeCell ref="D2:H2"/>
    <mergeCell ref="B34:D34"/>
    <mergeCell ref="B41:C41"/>
    <mergeCell ref="B13:H13"/>
    <mergeCell ref="B45:D45"/>
    <mergeCell ref="B44:D44"/>
    <mergeCell ref="C5:G5"/>
    <mergeCell ref="C6:G6"/>
    <mergeCell ref="C7:G7"/>
    <mergeCell ref="C11:G11"/>
    <mergeCell ref="C9:G9"/>
    <mergeCell ref="C10:G10"/>
    <mergeCell ref="B30:D30"/>
    <mergeCell ref="B31:D31"/>
    <mergeCell ref="B46:D46"/>
    <mergeCell ref="B47:D47"/>
    <mergeCell ref="B58:D58"/>
    <mergeCell ref="B57:D57"/>
    <mergeCell ref="B94:D94"/>
    <mergeCell ref="B52:C52"/>
    <mergeCell ref="B90:C90"/>
    <mergeCell ref="B53:D53"/>
    <mergeCell ref="B55:D55"/>
    <mergeCell ref="B56:D56"/>
    <mergeCell ref="B59:D59"/>
    <mergeCell ref="B60:D60"/>
    <mergeCell ref="B61:D61"/>
    <mergeCell ref="B62:D62"/>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L156"/>
  <sheetViews>
    <sheetView zoomScaleNormal="100" workbookViewId="0"/>
  </sheetViews>
  <sheetFormatPr defaultColWidth="25.140625" defaultRowHeight="18" customHeight="1" x14ac:dyDescent="0.2"/>
  <cols>
    <col min="1" max="1" width="7.7109375" style="430" customWidth="1"/>
    <col min="2" max="2" width="21.7109375" style="259" customWidth="1"/>
    <col min="3" max="3" width="12.7109375" style="259" customWidth="1"/>
    <col min="4" max="4" width="3.5703125" style="259" customWidth="1"/>
    <col min="5" max="5" width="9.140625" style="259" bestFit="1" customWidth="1"/>
    <col min="6" max="6" width="15.7109375" style="259" customWidth="1"/>
    <col min="7" max="7" width="13.28515625" style="259" customWidth="1"/>
    <col min="8" max="8" width="11.42578125" style="259" customWidth="1"/>
    <col min="9" max="9" width="13.85546875" style="259" customWidth="1"/>
    <col min="10" max="10" width="13.7109375" style="259" customWidth="1"/>
    <col min="11" max="11" width="16.140625" style="259" customWidth="1"/>
    <col min="12" max="16384" width="25.140625" style="259"/>
  </cols>
  <sheetData>
    <row r="1" spans="1:11" ht="18" customHeight="1" x14ac:dyDescent="0.2">
      <c r="A1" s="520"/>
      <c r="B1" s="520"/>
      <c r="C1" s="521"/>
      <c r="D1" s="522"/>
      <c r="E1" s="521"/>
      <c r="F1" s="521"/>
      <c r="G1" s="521"/>
      <c r="H1" s="521"/>
      <c r="I1" s="521"/>
      <c r="J1" s="521"/>
      <c r="K1" s="521"/>
    </row>
    <row r="2" spans="1:11" ht="18" customHeight="1" x14ac:dyDescent="0.25">
      <c r="A2" s="520"/>
      <c r="B2" s="520"/>
      <c r="C2" s="520"/>
      <c r="D2" s="523" t="s">
        <v>612</v>
      </c>
      <c r="E2" s="524"/>
      <c r="F2" s="524"/>
      <c r="G2" s="524"/>
      <c r="H2" s="524"/>
      <c r="I2" s="520"/>
      <c r="J2" s="520"/>
      <c r="K2" s="520"/>
    </row>
    <row r="3" spans="1:11" ht="18" customHeight="1" x14ac:dyDescent="0.2">
      <c r="A3" s="520"/>
      <c r="B3" s="525" t="s">
        <v>0</v>
      </c>
      <c r="C3" s="520"/>
      <c r="D3" s="520"/>
      <c r="E3" s="520"/>
      <c r="F3" s="520"/>
      <c r="G3" s="520"/>
      <c r="H3" s="520"/>
      <c r="I3" s="520"/>
      <c r="J3" s="520"/>
      <c r="K3" s="520"/>
    </row>
    <row r="5" spans="1:11" ht="18" customHeight="1" x14ac:dyDescent="0.2">
      <c r="A5" s="520"/>
      <c r="B5" s="526" t="s">
        <v>40</v>
      </c>
      <c r="C5" s="942" t="s">
        <v>342</v>
      </c>
      <c r="D5" s="528"/>
      <c r="E5" s="528"/>
      <c r="F5" s="528"/>
      <c r="G5" s="529"/>
      <c r="H5" s="520"/>
      <c r="I5" s="520"/>
      <c r="J5" s="520"/>
      <c r="K5" s="520"/>
    </row>
    <row r="6" spans="1:11" ht="18" customHeight="1" x14ac:dyDescent="0.2">
      <c r="A6" s="520"/>
      <c r="B6" s="526" t="s">
        <v>3</v>
      </c>
      <c r="C6" s="530"/>
      <c r="D6" s="943"/>
      <c r="E6" s="943"/>
      <c r="F6" s="943"/>
      <c r="G6" s="944"/>
      <c r="H6" s="520"/>
      <c r="I6" s="520"/>
      <c r="J6" s="520"/>
      <c r="K6" s="520"/>
    </row>
    <row r="7" spans="1:11" ht="18" customHeight="1" x14ac:dyDescent="0.2">
      <c r="A7" s="520"/>
      <c r="B7" s="526" t="s">
        <v>4</v>
      </c>
      <c r="C7" s="533">
        <v>672</v>
      </c>
      <c r="D7" s="534"/>
      <c r="E7" s="534"/>
      <c r="F7" s="534"/>
      <c r="G7" s="535"/>
      <c r="H7" s="520"/>
      <c r="I7" s="520"/>
      <c r="J7" s="520"/>
      <c r="K7" s="520"/>
    </row>
    <row r="9" spans="1:11" ht="18" customHeight="1" x14ac:dyDescent="0.2">
      <c r="A9" s="520"/>
      <c r="B9" s="526" t="s">
        <v>1</v>
      </c>
      <c r="C9" s="942" t="s">
        <v>715</v>
      </c>
      <c r="D9" s="528"/>
      <c r="E9" s="528"/>
      <c r="F9" s="528"/>
      <c r="G9" s="529"/>
      <c r="H9" s="520"/>
      <c r="I9" s="520"/>
      <c r="J9" s="520"/>
      <c r="K9" s="520"/>
    </row>
    <row r="10" spans="1:11" ht="18" customHeight="1" x14ac:dyDescent="0.2">
      <c r="A10" s="520"/>
      <c r="B10" s="526" t="s">
        <v>2</v>
      </c>
      <c r="C10" s="945" t="s">
        <v>716</v>
      </c>
      <c r="D10" s="537"/>
      <c r="E10" s="537"/>
      <c r="F10" s="537"/>
      <c r="G10" s="538"/>
      <c r="H10" s="520"/>
      <c r="I10" s="520"/>
      <c r="J10" s="520"/>
      <c r="K10" s="520"/>
    </row>
    <row r="11" spans="1:11" ht="18" customHeight="1" x14ac:dyDescent="0.2">
      <c r="A11" s="520"/>
      <c r="B11" s="526" t="s">
        <v>32</v>
      </c>
      <c r="C11" s="495" t="s">
        <v>717</v>
      </c>
      <c r="D11" s="540"/>
      <c r="E11" s="540"/>
      <c r="F11" s="540"/>
      <c r="G11" s="540"/>
      <c r="H11" s="520"/>
      <c r="I11" s="520"/>
      <c r="J11" s="520"/>
      <c r="K11" s="520"/>
    </row>
    <row r="12" spans="1:11" ht="18" customHeight="1" x14ac:dyDescent="0.2">
      <c r="A12" s="520"/>
      <c r="B12" s="526"/>
      <c r="C12" s="526"/>
      <c r="D12" s="526"/>
      <c r="E12" s="526"/>
      <c r="F12" s="526"/>
      <c r="G12" s="526"/>
      <c r="H12" s="520"/>
      <c r="I12" s="520"/>
      <c r="J12" s="520"/>
      <c r="K12" s="520"/>
    </row>
    <row r="13" spans="1:11" ht="24.6" customHeight="1" x14ac:dyDescent="0.2">
      <c r="A13" s="520"/>
      <c r="B13" s="541"/>
      <c r="C13" s="542"/>
      <c r="D13" s="542"/>
      <c r="E13" s="542"/>
      <c r="F13" s="542"/>
      <c r="G13" s="542"/>
      <c r="H13" s="543"/>
      <c r="I13" s="521"/>
      <c r="J13" s="520"/>
      <c r="K13" s="520"/>
    </row>
    <row r="14" spans="1:11" ht="18" customHeight="1" x14ac:dyDescent="0.2">
      <c r="A14" s="520"/>
      <c r="B14" s="544"/>
      <c r="C14" s="520"/>
      <c r="D14" s="520"/>
      <c r="E14" s="520"/>
      <c r="F14" s="520"/>
      <c r="G14" s="520"/>
      <c r="H14" s="520"/>
      <c r="I14" s="520"/>
      <c r="J14" s="520"/>
      <c r="K14" s="520"/>
    </row>
    <row r="15" spans="1:11" ht="18" customHeight="1" x14ac:dyDescent="0.2">
      <c r="A15" s="520"/>
      <c r="B15" s="544"/>
      <c r="C15" s="520"/>
      <c r="D15" s="520"/>
      <c r="E15" s="520"/>
      <c r="F15" s="520"/>
      <c r="G15" s="520"/>
      <c r="H15" s="520"/>
      <c r="I15" s="520"/>
      <c r="J15" s="520"/>
      <c r="K15" s="520"/>
    </row>
    <row r="16" spans="1:11" ht="45.2" customHeight="1" x14ac:dyDescent="0.2">
      <c r="A16" s="522" t="s">
        <v>181</v>
      </c>
      <c r="B16" s="521"/>
      <c r="C16" s="521"/>
      <c r="D16" s="521"/>
      <c r="E16" s="521"/>
      <c r="F16" s="545" t="s">
        <v>9</v>
      </c>
      <c r="G16" s="545" t="s">
        <v>37</v>
      </c>
      <c r="H16" s="545" t="s">
        <v>29</v>
      </c>
      <c r="I16" s="545" t="s">
        <v>30</v>
      </c>
      <c r="J16" s="545" t="s">
        <v>33</v>
      </c>
      <c r="K16" s="545" t="s">
        <v>34</v>
      </c>
    </row>
    <row r="17" spans="1:11" ht="18" customHeight="1" x14ac:dyDescent="0.2">
      <c r="A17" s="546" t="s">
        <v>184</v>
      </c>
      <c r="B17" s="525" t="s">
        <v>182</v>
      </c>
      <c r="C17" s="520"/>
      <c r="D17" s="520"/>
      <c r="E17" s="520"/>
      <c r="F17" s="520"/>
      <c r="G17" s="520"/>
      <c r="H17" s="520"/>
      <c r="I17" s="520"/>
      <c r="J17" s="520"/>
      <c r="K17" s="520"/>
    </row>
    <row r="18" spans="1:11" ht="18" customHeight="1" x14ac:dyDescent="0.2">
      <c r="A18" s="526" t="s">
        <v>185</v>
      </c>
      <c r="B18" s="547" t="s">
        <v>183</v>
      </c>
      <c r="C18" s="520"/>
      <c r="D18" s="520"/>
      <c r="E18" s="520"/>
      <c r="F18" s="101" t="s">
        <v>73</v>
      </c>
      <c r="G18" s="101" t="s">
        <v>73</v>
      </c>
      <c r="H18" s="141"/>
      <c r="I18" s="144">
        <v>0</v>
      </c>
      <c r="J18" s="141"/>
      <c r="K18" s="141">
        <v>0</v>
      </c>
    </row>
    <row r="19" spans="1:11" ht="45.2" customHeight="1" x14ac:dyDescent="0.2">
      <c r="A19" s="522" t="s">
        <v>8</v>
      </c>
      <c r="B19" s="521"/>
      <c r="C19" s="521"/>
      <c r="D19" s="521"/>
      <c r="E19" s="521"/>
      <c r="F19" s="545" t="s">
        <v>9</v>
      </c>
      <c r="G19" s="545" t="s">
        <v>37</v>
      </c>
      <c r="H19" s="545" t="s">
        <v>29</v>
      </c>
      <c r="I19" s="545" t="s">
        <v>30</v>
      </c>
      <c r="J19" s="545" t="s">
        <v>33</v>
      </c>
      <c r="K19" s="545" t="s">
        <v>34</v>
      </c>
    </row>
    <row r="20" spans="1:11" ht="18" customHeight="1" x14ac:dyDescent="0.2">
      <c r="A20" s="546" t="s">
        <v>74</v>
      </c>
      <c r="B20" s="525" t="s">
        <v>41</v>
      </c>
      <c r="C20" s="520"/>
      <c r="D20" s="520"/>
      <c r="E20" s="520"/>
      <c r="F20" s="520"/>
      <c r="G20" s="520"/>
      <c r="H20" s="520"/>
      <c r="I20" s="520"/>
      <c r="J20" s="520"/>
      <c r="K20" s="520"/>
    </row>
    <row r="21" spans="1:11" ht="18" customHeight="1" x14ac:dyDescent="0.2">
      <c r="A21" s="526" t="s">
        <v>75</v>
      </c>
      <c r="B21" s="547" t="s">
        <v>42</v>
      </c>
      <c r="C21" s="520"/>
      <c r="D21" s="520"/>
      <c r="E21" s="520"/>
      <c r="F21" s="101">
        <v>1157.5</v>
      </c>
      <c r="G21" s="101">
        <v>26607</v>
      </c>
      <c r="H21" s="101">
        <v>47573.568749999991</v>
      </c>
      <c r="I21" s="144">
        <v>23786.784374999996</v>
      </c>
      <c r="J21" s="101">
        <v>0</v>
      </c>
      <c r="K21" s="141">
        <v>71360.353124999994</v>
      </c>
    </row>
    <row r="22" spans="1:11" ht="18" customHeight="1" x14ac:dyDescent="0.2">
      <c r="A22" s="526" t="s">
        <v>76</v>
      </c>
      <c r="B22" s="520" t="s">
        <v>6</v>
      </c>
      <c r="C22" s="520"/>
      <c r="D22" s="520"/>
      <c r="E22" s="520"/>
      <c r="F22" s="101">
        <v>77</v>
      </c>
      <c r="G22" s="101">
        <v>220</v>
      </c>
      <c r="H22" s="101">
        <v>2324.4375</v>
      </c>
      <c r="I22" s="144">
        <v>1162.21875</v>
      </c>
      <c r="J22" s="101">
        <v>0</v>
      </c>
      <c r="K22" s="141">
        <v>3486.65625</v>
      </c>
    </row>
    <row r="23" spans="1:11" ht="18" customHeight="1" x14ac:dyDescent="0.2">
      <c r="A23" s="526" t="s">
        <v>77</v>
      </c>
      <c r="B23" s="520" t="s">
        <v>43</v>
      </c>
      <c r="C23" s="520"/>
      <c r="D23" s="520"/>
      <c r="E23" s="520"/>
      <c r="F23" s="101">
        <v>0</v>
      </c>
      <c r="G23" s="101">
        <v>0</v>
      </c>
      <c r="H23" s="101">
        <v>0</v>
      </c>
      <c r="I23" s="144">
        <v>0</v>
      </c>
      <c r="J23" s="101">
        <v>0</v>
      </c>
      <c r="K23" s="141">
        <v>0</v>
      </c>
    </row>
    <row r="24" spans="1:11" ht="18" customHeight="1" x14ac:dyDescent="0.2">
      <c r="A24" s="526" t="s">
        <v>78</v>
      </c>
      <c r="B24" s="520" t="s">
        <v>44</v>
      </c>
      <c r="C24" s="520"/>
      <c r="D24" s="520"/>
      <c r="E24" s="520"/>
      <c r="F24" s="101">
        <v>0</v>
      </c>
      <c r="G24" s="101">
        <v>0</v>
      </c>
      <c r="H24" s="101">
        <v>0</v>
      </c>
      <c r="I24" s="144">
        <v>0</v>
      </c>
      <c r="J24" s="101">
        <v>0</v>
      </c>
      <c r="K24" s="141">
        <v>0</v>
      </c>
    </row>
    <row r="25" spans="1:11" ht="18" customHeight="1" x14ac:dyDescent="0.2">
      <c r="A25" s="526" t="s">
        <v>79</v>
      </c>
      <c r="B25" s="520" t="s">
        <v>5</v>
      </c>
      <c r="C25" s="520"/>
      <c r="D25" s="520"/>
      <c r="E25" s="520"/>
      <c r="F25" s="101">
        <v>0</v>
      </c>
      <c r="G25" s="101">
        <v>0</v>
      </c>
      <c r="H25" s="101">
        <v>0</v>
      </c>
      <c r="I25" s="144">
        <v>0</v>
      </c>
      <c r="J25" s="101">
        <v>0</v>
      </c>
      <c r="K25" s="141">
        <v>0</v>
      </c>
    </row>
    <row r="26" spans="1:11" ht="18" customHeight="1" x14ac:dyDescent="0.2">
      <c r="A26" s="526" t="s">
        <v>80</v>
      </c>
      <c r="B26" s="520" t="s">
        <v>45</v>
      </c>
      <c r="C26" s="520"/>
      <c r="D26" s="520"/>
      <c r="E26" s="520"/>
      <c r="F26" s="101">
        <v>0</v>
      </c>
      <c r="G26" s="101">
        <v>0</v>
      </c>
      <c r="H26" s="101">
        <v>0</v>
      </c>
      <c r="I26" s="144">
        <v>0</v>
      </c>
      <c r="J26" s="101">
        <v>0</v>
      </c>
      <c r="K26" s="141">
        <v>0</v>
      </c>
    </row>
    <row r="27" spans="1:11" ht="18" customHeight="1" x14ac:dyDescent="0.2">
      <c r="A27" s="526" t="s">
        <v>81</v>
      </c>
      <c r="B27" s="520" t="s">
        <v>46</v>
      </c>
      <c r="C27" s="520"/>
      <c r="D27" s="520"/>
      <c r="E27" s="520"/>
      <c r="F27" s="101">
        <v>0</v>
      </c>
      <c r="G27" s="101">
        <v>0</v>
      </c>
      <c r="H27" s="101">
        <v>0</v>
      </c>
      <c r="I27" s="144">
        <v>0</v>
      </c>
      <c r="J27" s="101">
        <v>0</v>
      </c>
      <c r="K27" s="141">
        <v>0</v>
      </c>
    </row>
    <row r="28" spans="1:11" ht="18" customHeight="1" x14ac:dyDescent="0.2">
      <c r="A28" s="526" t="s">
        <v>82</v>
      </c>
      <c r="B28" s="520" t="s">
        <v>47</v>
      </c>
      <c r="C28" s="520"/>
      <c r="D28" s="520"/>
      <c r="E28" s="520"/>
      <c r="F28" s="101">
        <v>0</v>
      </c>
      <c r="G28" s="101">
        <v>0</v>
      </c>
      <c r="H28" s="101">
        <v>0</v>
      </c>
      <c r="I28" s="144">
        <v>0</v>
      </c>
      <c r="J28" s="101">
        <v>0</v>
      </c>
      <c r="K28" s="141">
        <v>0</v>
      </c>
    </row>
    <row r="29" spans="1:11" ht="18" customHeight="1" x14ac:dyDescent="0.2">
      <c r="A29" s="526" t="s">
        <v>83</v>
      </c>
      <c r="B29" s="520" t="s">
        <v>48</v>
      </c>
      <c r="C29" s="520"/>
      <c r="D29" s="520"/>
      <c r="E29" s="520"/>
      <c r="F29" s="101">
        <v>485</v>
      </c>
      <c r="G29" s="101">
        <v>616</v>
      </c>
      <c r="H29" s="101">
        <v>16522.337500000001</v>
      </c>
      <c r="I29" s="144">
        <v>8261.1687500000007</v>
      </c>
      <c r="J29" s="101">
        <v>0</v>
      </c>
      <c r="K29" s="141">
        <v>24783.506250000002</v>
      </c>
    </row>
    <row r="30" spans="1:11" ht="18" customHeight="1" x14ac:dyDescent="0.2">
      <c r="A30" s="526" t="s">
        <v>84</v>
      </c>
      <c r="B30" s="548"/>
      <c r="C30" s="549"/>
      <c r="D30" s="550"/>
      <c r="E30" s="520"/>
      <c r="F30" s="101">
        <v>0</v>
      </c>
      <c r="G30" s="101">
        <v>0</v>
      </c>
      <c r="H30" s="101">
        <v>0</v>
      </c>
      <c r="I30" s="144">
        <v>0</v>
      </c>
      <c r="J30" s="101">
        <v>0</v>
      </c>
      <c r="K30" s="141">
        <v>0</v>
      </c>
    </row>
    <row r="31" spans="1:11" ht="18" customHeight="1" x14ac:dyDescent="0.2">
      <c r="A31" s="526" t="s">
        <v>133</v>
      </c>
      <c r="B31" s="548"/>
      <c r="C31" s="549"/>
      <c r="D31" s="550"/>
      <c r="E31" s="520"/>
      <c r="F31" s="101">
        <v>0</v>
      </c>
      <c r="G31" s="101">
        <v>0</v>
      </c>
      <c r="H31" s="101">
        <v>0</v>
      </c>
      <c r="I31" s="144">
        <v>0</v>
      </c>
      <c r="J31" s="101">
        <v>0</v>
      </c>
      <c r="K31" s="141">
        <v>0</v>
      </c>
    </row>
    <row r="32" spans="1:11" ht="18" customHeight="1" x14ac:dyDescent="0.2">
      <c r="A32" s="526" t="s">
        <v>134</v>
      </c>
      <c r="B32" s="551"/>
      <c r="C32" s="552"/>
      <c r="D32" s="553"/>
      <c r="E32" s="520"/>
      <c r="F32" s="101">
        <v>0</v>
      </c>
      <c r="G32" s="101">
        <v>0</v>
      </c>
      <c r="H32" s="101">
        <v>0</v>
      </c>
      <c r="I32" s="144">
        <v>0</v>
      </c>
      <c r="J32" s="101">
        <v>0</v>
      </c>
      <c r="K32" s="141">
        <v>0</v>
      </c>
    </row>
    <row r="33" spans="1:11" ht="18" customHeight="1" x14ac:dyDescent="0.2">
      <c r="A33" s="526" t="s">
        <v>135</v>
      </c>
      <c r="B33" s="551"/>
      <c r="C33" s="552"/>
      <c r="D33" s="553"/>
      <c r="E33" s="520"/>
      <c r="F33" s="101">
        <v>0</v>
      </c>
      <c r="G33" s="101">
        <v>0</v>
      </c>
      <c r="H33" s="101">
        <v>0</v>
      </c>
      <c r="I33" s="144">
        <v>0</v>
      </c>
      <c r="J33" s="101">
        <v>0</v>
      </c>
      <c r="K33" s="141">
        <v>0</v>
      </c>
    </row>
    <row r="34" spans="1:11" ht="18" customHeight="1" x14ac:dyDescent="0.2">
      <c r="A34" s="526" t="s">
        <v>136</v>
      </c>
      <c r="B34" s="548"/>
      <c r="C34" s="549"/>
      <c r="D34" s="550"/>
      <c r="E34" s="520"/>
      <c r="F34" s="101">
        <v>0</v>
      </c>
      <c r="G34" s="101">
        <v>0</v>
      </c>
      <c r="H34" s="101">
        <v>0</v>
      </c>
      <c r="I34" s="144">
        <v>0</v>
      </c>
      <c r="J34" s="101">
        <v>0</v>
      </c>
      <c r="K34" s="141">
        <v>0</v>
      </c>
    </row>
    <row r="35" spans="1:11" ht="18" customHeight="1" x14ac:dyDescent="0.2">
      <c r="A35" s="520"/>
      <c r="B35" s="520"/>
      <c r="C35" s="520"/>
      <c r="D35" s="520"/>
      <c r="E35" s="520"/>
      <c r="F35" s="520"/>
      <c r="G35" s="520"/>
      <c r="H35" s="520"/>
      <c r="I35" s="520"/>
      <c r="J35" s="520"/>
      <c r="K35" s="554"/>
    </row>
    <row r="36" spans="1:11" ht="18" customHeight="1" x14ac:dyDescent="0.2">
      <c r="A36" s="546" t="s">
        <v>137</v>
      </c>
      <c r="B36" s="525" t="s">
        <v>138</v>
      </c>
      <c r="C36" s="520"/>
      <c r="D36" s="520"/>
      <c r="E36" s="525" t="s">
        <v>7</v>
      </c>
      <c r="F36" s="101">
        <v>1719.5</v>
      </c>
      <c r="G36" s="101">
        <v>27443</v>
      </c>
      <c r="H36" s="101">
        <v>66420.34375</v>
      </c>
      <c r="I36" s="141">
        <v>33210.171875</v>
      </c>
      <c r="J36" s="141">
        <v>0</v>
      </c>
      <c r="K36" s="141">
        <v>99630.515625</v>
      </c>
    </row>
    <row r="37" spans="1:11" ht="18" customHeight="1" thickBot="1" x14ac:dyDescent="0.25">
      <c r="A37" s="520"/>
      <c r="B37" s="525"/>
      <c r="C37" s="520"/>
      <c r="D37" s="520"/>
      <c r="E37" s="520"/>
      <c r="F37" s="555"/>
      <c r="G37" s="555"/>
      <c r="H37" s="556"/>
      <c r="I37" s="556"/>
      <c r="J37" s="556"/>
      <c r="K37" s="557"/>
    </row>
    <row r="38" spans="1:11" ht="42.75" customHeight="1" x14ac:dyDescent="0.2">
      <c r="A38" s="520"/>
      <c r="B38" s="520"/>
      <c r="C38" s="520"/>
      <c r="D38" s="520"/>
      <c r="E38" s="520"/>
      <c r="F38" s="545" t="s">
        <v>9</v>
      </c>
      <c r="G38" s="545" t="s">
        <v>37</v>
      </c>
      <c r="H38" s="545" t="s">
        <v>29</v>
      </c>
      <c r="I38" s="545" t="s">
        <v>30</v>
      </c>
      <c r="J38" s="545" t="s">
        <v>33</v>
      </c>
      <c r="K38" s="545" t="s">
        <v>34</v>
      </c>
    </row>
    <row r="39" spans="1:11" ht="18.75" customHeight="1" x14ac:dyDescent="0.2">
      <c r="A39" s="546" t="s">
        <v>86</v>
      </c>
      <c r="B39" s="525" t="s">
        <v>49</v>
      </c>
      <c r="C39" s="520"/>
      <c r="D39" s="520"/>
      <c r="E39" s="520"/>
      <c r="F39" s="520"/>
      <c r="G39" s="520"/>
      <c r="H39" s="520"/>
      <c r="I39" s="520"/>
      <c r="J39" s="520"/>
      <c r="K39" s="520"/>
    </row>
    <row r="40" spans="1:11" ht="18" customHeight="1" x14ac:dyDescent="0.2">
      <c r="A40" s="526" t="s">
        <v>87</v>
      </c>
      <c r="B40" s="520" t="s">
        <v>31</v>
      </c>
      <c r="C40" s="520"/>
      <c r="D40" s="520"/>
      <c r="E40" s="520"/>
      <c r="F40" s="101">
        <v>0</v>
      </c>
      <c r="G40" s="101">
        <v>0</v>
      </c>
      <c r="H40" s="101">
        <v>0</v>
      </c>
      <c r="I40" s="144">
        <v>0</v>
      </c>
      <c r="J40" s="101">
        <v>0</v>
      </c>
      <c r="K40" s="141">
        <v>0</v>
      </c>
    </row>
    <row r="41" spans="1:11" ht="18" customHeight="1" x14ac:dyDescent="0.2">
      <c r="A41" s="526" t="s">
        <v>88</v>
      </c>
      <c r="B41" s="558" t="s">
        <v>50</v>
      </c>
      <c r="C41" s="559"/>
      <c r="D41" s="520"/>
      <c r="E41" s="520"/>
      <c r="F41" s="101">
        <v>2835</v>
      </c>
      <c r="G41" s="101">
        <v>0</v>
      </c>
      <c r="H41" s="101">
        <v>147401.12499999997</v>
      </c>
      <c r="I41" s="144">
        <v>73700.562499999985</v>
      </c>
      <c r="J41" s="101">
        <v>0</v>
      </c>
      <c r="K41" s="141">
        <v>221101.68749999994</v>
      </c>
    </row>
    <row r="42" spans="1:11" ht="18" customHeight="1" x14ac:dyDescent="0.2">
      <c r="A42" s="526" t="s">
        <v>89</v>
      </c>
      <c r="B42" s="547" t="s">
        <v>11</v>
      </c>
      <c r="C42" s="520"/>
      <c r="D42" s="520"/>
      <c r="E42" s="520"/>
      <c r="F42" s="101">
        <v>651</v>
      </c>
      <c r="G42" s="101">
        <v>475</v>
      </c>
      <c r="H42" s="101">
        <v>16898.162499999999</v>
      </c>
      <c r="I42" s="144">
        <v>8449.0812499999993</v>
      </c>
      <c r="J42" s="101">
        <v>0</v>
      </c>
      <c r="K42" s="141">
        <v>25347.243749999998</v>
      </c>
    </row>
    <row r="43" spans="1:11" ht="18" customHeight="1" x14ac:dyDescent="0.2">
      <c r="A43" s="526" t="s">
        <v>90</v>
      </c>
      <c r="B43" s="560" t="s">
        <v>10</v>
      </c>
      <c r="C43" s="561"/>
      <c r="D43" s="561"/>
      <c r="E43" s="520"/>
      <c r="F43" s="101">
        <v>2872</v>
      </c>
      <c r="G43" s="101">
        <v>20</v>
      </c>
      <c r="H43" s="101">
        <v>122562.59999999999</v>
      </c>
      <c r="I43" s="144">
        <v>61281.299999999996</v>
      </c>
      <c r="J43" s="101">
        <v>0</v>
      </c>
      <c r="K43" s="141">
        <v>183843.9</v>
      </c>
    </row>
    <row r="44" spans="1:11" ht="18" customHeight="1" x14ac:dyDescent="0.2">
      <c r="A44" s="526" t="s">
        <v>91</v>
      </c>
      <c r="B44" s="548"/>
      <c r="C44" s="549"/>
      <c r="D44" s="550"/>
      <c r="E44" s="520"/>
      <c r="F44" s="101">
        <v>0</v>
      </c>
      <c r="G44" s="101">
        <v>0</v>
      </c>
      <c r="H44" s="101">
        <v>0</v>
      </c>
      <c r="I44" s="144">
        <v>0</v>
      </c>
      <c r="J44" s="101">
        <v>0</v>
      </c>
      <c r="K44" s="145">
        <v>0</v>
      </c>
    </row>
    <row r="45" spans="1:11" ht="18" customHeight="1" x14ac:dyDescent="0.2">
      <c r="A45" s="526" t="s">
        <v>139</v>
      </c>
      <c r="B45" s="548"/>
      <c r="C45" s="549"/>
      <c r="D45" s="550"/>
      <c r="E45" s="520"/>
      <c r="F45" s="101">
        <v>0</v>
      </c>
      <c r="G45" s="101">
        <v>0</v>
      </c>
      <c r="H45" s="101">
        <v>0</v>
      </c>
      <c r="I45" s="144">
        <v>0</v>
      </c>
      <c r="J45" s="101">
        <v>0</v>
      </c>
      <c r="K45" s="141">
        <v>0</v>
      </c>
    </row>
    <row r="46" spans="1:11" ht="18" customHeight="1" x14ac:dyDescent="0.2">
      <c r="A46" s="526" t="s">
        <v>140</v>
      </c>
      <c r="B46" s="548"/>
      <c r="C46" s="549"/>
      <c r="D46" s="550"/>
      <c r="E46" s="520"/>
      <c r="F46" s="101">
        <v>0</v>
      </c>
      <c r="G46" s="101">
        <v>0</v>
      </c>
      <c r="H46" s="101">
        <v>0</v>
      </c>
      <c r="I46" s="144">
        <v>0</v>
      </c>
      <c r="J46" s="101">
        <v>0</v>
      </c>
      <c r="K46" s="141">
        <v>0</v>
      </c>
    </row>
    <row r="47" spans="1:11" ht="18" customHeight="1" x14ac:dyDescent="0.2">
      <c r="A47" s="526" t="s">
        <v>141</v>
      </c>
      <c r="B47" s="548"/>
      <c r="C47" s="549"/>
      <c r="D47" s="550"/>
      <c r="E47" s="520"/>
      <c r="F47" s="101">
        <v>0</v>
      </c>
      <c r="G47" s="101">
        <v>0</v>
      </c>
      <c r="H47" s="101">
        <v>0</v>
      </c>
      <c r="I47" s="144">
        <v>0</v>
      </c>
      <c r="J47" s="101">
        <v>0</v>
      </c>
      <c r="K47" s="141">
        <v>0</v>
      </c>
    </row>
    <row r="49" spans="1:11" ht="18" customHeight="1" x14ac:dyDescent="0.2">
      <c r="A49" s="546" t="s">
        <v>142</v>
      </c>
      <c r="B49" s="525" t="s">
        <v>143</v>
      </c>
      <c r="C49" s="520"/>
      <c r="D49" s="520"/>
      <c r="E49" s="525" t="s">
        <v>7</v>
      </c>
      <c r="F49" s="946">
        <v>6358</v>
      </c>
      <c r="G49" s="946">
        <v>495</v>
      </c>
      <c r="H49" s="141">
        <v>286861.88749999995</v>
      </c>
      <c r="I49" s="141">
        <v>143430.94374999998</v>
      </c>
      <c r="J49" s="141">
        <v>0</v>
      </c>
      <c r="K49" s="141">
        <v>430292.83124999993</v>
      </c>
    </row>
    <row r="50" spans="1:11" ht="18" customHeight="1" thickBot="1" x14ac:dyDescent="0.25">
      <c r="A50" s="520"/>
      <c r="B50" s="520"/>
      <c r="C50" s="520"/>
      <c r="D50" s="520"/>
      <c r="E50" s="520"/>
      <c r="F50" s="520"/>
      <c r="G50" s="562"/>
      <c r="H50" s="562"/>
      <c r="I50" s="562"/>
      <c r="J50" s="562"/>
      <c r="K50" s="562"/>
    </row>
    <row r="51" spans="1:11" ht="42.75" customHeight="1" x14ac:dyDescent="0.2">
      <c r="A51" s="520"/>
      <c r="B51" s="520"/>
      <c r="C51" s="520"/>
      <c r="D51" s="520"/>
      <c r="E51" s="520"/>
      <c r="F51" s="545" t="s">
        <v>9</v>
      </c>
      <c r="G51" s="545" t="s">
        <v>37</v>
      </c>
      <c r="H51" s="545" t="s">
        <v>29</v>
      </c>
      <c r="I51" s="545" t="s">
        <v>30</v>
      </c>
      <c r="J51" s="545" t="s">
        <v>33</v>
      </c>
      <c r="K51" s="545" t="s">
        <v>34</v>
      </c>
    </row>
    <row r="52" spans="1:11" ht="12.75" x14ac:dyDescent="0.2">
      <c r="A52" s="546" t="s">
        <v>92</v>
      </c>
      <c r="B52" s="563" t="s">
        <v>38</v>
      </c>
      <c r="C52" s="564"/>
      <c r="D52" s="520"/>
      <c r="E52" s="520"/>
      <c r="F52" s="520"/>
      <c r="G52" s="520"/>
      <c r="H52" s="520"/>
      <c r="I52" s="520"/>
      <c r="J52" s="520"/>
      <c r="K52" s="520"/>
    </row>
    <row r="53" spans="1:11" ht="18" customHeight="1" x14ac:dyDescent="0.2">
      <c r="A53" s="526" t="s">
        <v>51</v>
      </c>
      <c r="B53" s="568" t="s">
        <v>343</v>
      </c>
      <c r="C53" s="569"/>
      <c r="D53" s="567"/>
      <c r="E53" s="520"/>
      <c r="F53" s="101">
        <v>10750</v>
      </c>
      <c r="G53" s="101">
        <v>3443</v>
      </c>
      <c r="H53" s="101">
        <v>701418</v>
      </c>
      <c r="I53" s="144">
        <v>350709</v>
      </c>
      <c r="J53" s="101">
        <v>487250</v>
      </c>
      <c r="K53" s="141">
        <f>H53+I53-J53</f>
        <v>564877</v>
      </c>
    </row>
    <row r="54" spans="1:11" ht="18" customHeight="1" x14ac:dyDescent="0.2">
      <c r="A54" s="526" t="s">
        <v>93</v>
      </c>
      <c r="B54" s="578"/>
      <c r="C54" s="579"/>
      <c r="D54" s="580"/>
      <c r="E54" s="520"/>
      <c r="F54" s="101"/>
      <c r="G54" s="101"/>
      <c r="H54" s="141"/>
      <c r="I54" s="144">
        <v>0</v>
      </c>
      <c r="J54" s="141"/>
      <c r="K54" s="141">
        <f t="shared" ref="K54:K62" si="0">H54+I54-J54</f>
        <v>0</v>
      </c>
    </row>
    <row r="55" spans="1:11" ht="18" customHeight="1" x14ac:dyDescent="0.2">
      <c r="A55" s="526" t="s">
        <v>94</v>
      </c>
      <c r="B55" s="568"/>
      <c r="C55" s="569"/>
      <c r="D55" s="567"/>
      <c r="E55" s="520"/>
      <c r="F55" s="101"/>
      <c r="G55" s="101"/>
      <c r="H55" s="141"/>
      <c r="I55" s="144">
        <v>0</v>
      </c>
      <c r="J55" s="141"/>
      <c r="K55" s="141">
        <f t="shared" si="0"/>
        <v>0</v>
      </c>
    </row>
    <row r="56" spans="1:11" ht="18" customHeight="1" x14ac:dyDescent="0.2">
      <c r="A56" s="526" t="s">
        <v>95</v>
      </c>
      <c r="B56" s="568"/>
      <c r="C56" s="569"/>
      <c r="D56" s="567"/>
      <c r="E56" s="520"/>
      <c r="F56" s="101"/>
      <c r="G56" s="101"/>
      <c r="H56" s="141"/>
      <c r="I56" s="144">
        <v>0</v>
      </c>
      <c r="J56" s="141"/>
      <c r="K56" s="141">
        <f t="shared" si="0"/>
        <v>0</v>
      </c>
    </row>
    <row r="57" spans="1:11" ht="18" customHeight="1" x14ac:dyDescent="0.2">
      <c r="A57" s="526" t="s">
        <v>96</v>
      </c>
      <c r="B57" s="568"/>
      <c r="C57" s="569"/>
      <c r="D57" s="567"/>
      <c r="E57" s="520"/>
      <c r="F57" s="101"/>
      <c r="G57" s="101"/>
      <c r="H57" s="141"/>
      <c r="I57" s="144">
        <v>0</v>
      </c>
      <c r="J57" s="141"/>
      <c r="K57" s="141">
        <f t="shared" si="0"/>
        <v>0</v>
      </c>
    </row>
    <row r="58" spans="1:11" ht="18" customHeight="1" x14ac:dyDescent="0.2">
      <c r="A58" s="526" t="s">
        <v>97</v>
      </c>
      <c r="B58" s="578"/>
      <c r="C58" s="579"/>
      <c r="D58" s="580"/>
      <c r="E58" s="520"/>
      <c r="F58" s="101"/>
      <c r="G58" s="101"/>
      <c r="H58" s="141"/>
      <c r="I58" s="144">
        <v>0</v>
      </c>
      <c r="J58" s="141"/>
      <c r="K58" s="141">
        <f t="shared" si="0"/>
        <v>0</v>
      </c>
    </row>
    <row r="59" spans="1:11" ht="18" customHeight="1" x14ac:dyDescent="0.2">
      <c r="A59" s="526" t="s">
        <v>98</v>
      </c>
      <c r="B59" s="568"/>
      <c r="C59" s="569"/>
      <c r="D59" s="567"/>
      <c r="E59" s="520"/>
      <c r="F59" s="101"/>
      <c r="G59" s="101"/>
      <c r="H59" s="141"/>
      <c r="I59" s="144">
        <v>0</v>
      </c>
      <c r="J59" s="141"/>
      <c r="K59" s="141">
        <f t="shared" si="0"/>
        <v>0</v>
      </c>
    </row>
    <row r="60" spans="1:11" ht="18" customHeight="1" x14ac:dyDescent="0.2">
      <c r="A60" s="526" t="s">
        <v>99</v>
      </c>
      <c r="B60" s="578"/>
      <c r="C60" s="579"/>
      <c r="D60" s="580"/>
      <c r="E60" s="520"/>
      <c r="F60" s="101"/>
      <c r="G60" s="101"/>
      <c r="H60" s="141"/>
      <c r="I60" s="144">
        <v>0</v>
      </c>
      <c r="J60" s="141"/>
      <c r="K60" s="141">
        <f t="shared" si="0"/>
        <v>0</v>
      </c>
    </row>
    <row r="61" spans="1:11" ht="18" customHeight="1" x14ac:dyDescent="0.2">
      <c r="A61" s="526" t="s">
        <v>100</v>
      </c>
      <c r="B61" s="578"/>
      <c r="C61" s="579"/>
      <c r="D61" s="580"/>
      <c r="E61" s="520"/>
      <c r="F61" s="101"/>
      <c r="G61" s="101"/>
      <c r="H61" s="141"/>
      <c r="I61" s="144">
        <v>0</v>
      </c>
      <c r="J61" s="141"/>
      <c r="K61" s="141">
        <f t="shared" si="0"/>
        <v>0</v>
      </c>
    </row>
    <row r="62" spans="1:11" ht="18" customHeight="1" x14ac:dyDescent="0.2">
      <c r="A62" s="526" t="s">
        <v>101</v>
      </c>
      <c r="B62" s="568"/>
      <c r="C62" s="569"/>
      <c r="D62" s="567"/>
      <c r="E62" s="520"/>
      <c r="F62" s="101"/>
      <c r="G62" s="101"/>
      <c r="H62" s="141"/>
      <c r="I62" s="144">
        <v>0</v>
      </c>
      <c r="J62" s="141"/>
      <c r="K62" s="141">
        <f t="shared" si="0"/>
        <v>0</v>
      </c>
    </row>
    <row r="63" spans="1:11" ht="18" customHeight="1" x14ac:dyDescent="0.2">
      <c r="A63" s="526"/>
      <c r="B63" s="520"/>
      <c r="C63" s="520"/>
      <c r="D63" s="520"/>
      <c r="E63" s="520"/>
      <c r="F63" s="520"/>
      <c r="G63" s="520"/>
      <c r="H63" s="520"/>
      <c r="I63" s="143"/>
      <c r="J63" s="520"/>
      <c r="K63" s="520"/>
    </row>
    <row r="64" spans="1:11" ht="18" customHeight="1" x14ac:dyDescent="0.2">
      <c r="A64" s="526" t="s">
        <v>144</v>
      </c>
      <c r="B64" s="525" t="s">
        <v>145</v>
      </c>
      <c r="C64" s="520"/>
      <c r="D64" s="520"/>
      <c r="E64" s="525" t="s">
        <v>7</v>
      </c>
      <c r="F64" s="101">
        <v>10750</v>
      </c>
      <c r="G64" s="101">
        <v>3443</v>
      </c>
      <c r="H64" s="118">
        <f t="shared" ref="H64:J64" si="1">SUM(H53:H62)</f>
        <v>701418</v>
      </c>
      <c r="I64" s="118">
        <f t="shared" si="1"/>
        <v>350709</v>
      </c>
      <c r="J64" s="118">
        <f t="shared" si="1"/>
        <v>487250</v>
      </c>
      <c r="K64" s="118">
        <f t="shared" ref="K64" si="2">SUM(K53:K62)</f>
        <v>564877</v>
      </c>
    </row>
    <row r="65" spans="1:11" ht="18" customHeight="1" x14ac:dyDescent="0.2">
      <c r="A65" s="520"/>
      <c r="B65" s="520"/>
      <c r="C65" s="520"/>
      <c r="D65" s="520"/>
      <c r="E65" s="520"/>
      <c r="F65" s="575"/>
      <c r="G65" s="575"/>
      <c r="H65" s="575"/>
      <c r="I65" s="575"/>
      <c r="J65" s="575"/>
      <c r="K65" s="575"/>
    </row>
    <row r="66" spans="1:11" ht="42.75" customHeight="1" x14ac:dyDescent="0.2">
      <c r="A66" s="520"/>
      <c r="B66" s="520"/>
      <c r="C66" s="520"/>
      <c r="D66" s="520"/>
      <c r="E66" s="520"/>
      <c r="F66" s="576" t="s">
        <v>9</v>
      </c>
      <c r="G66" s="576" t="s">
        <v>37</v>
      </c>
      <c r="H66" s="576" t="s">
        <v>29</v>
      </c>
      <c r="I66" s="576" t="s">
        <v>30</v>
      </c>
      <c r="J66" s="576" t="s">
        <v>33</v>
      </c>
      <c r="K66" s="576" t="s">
        <v>34</v>
      </c>
    </row>
    <row r="67" spans="1:11" ht="18" customHeight="1" x14ac:dyDescent="0.2">
      <c r="A67" s="546" t="s">
        <v>102</v>
      </c>
      <c r="B67" s="525" t="s">
        <v>12</v>
      </c>
      <c r="C67" s="520"/>
      <c r="D67" s="520"/>
      <c r="E67" s="520"/>
      <c r="F67" s="577"/>
      <c r="G67" s="577"/>
      <c r="H67" s="577"/>
      <c r="I67" s="146"/>
      <c r="J67" s="577"/>
      <c r="K67" s="146"/>
    </row>
    <row r="68" spans="1:11" ht="18" customHeight="1" x14ac:dyDescent="0.2">
      <c r="A68" s="526" t="s">
        <v>103</v>
      </c>
      <c r="B68" s="520" t="s">
        <v>52</v>
      </c>
      <c r="C68" s="520"/>
      <c r="D68" s="520"/>
      <c r="E68" s="520"/>
      <c r="F68" s="101">
        <v>0</v>
      </c>
      <c r="G68" s="101">
        <v>0</v>
      </c>
      <c r="H68" s="101">
        <v>0</v>
      </c>
      <c r="I68" s="144">
        <v>0</v>
      </c>
      <c r="J68" s="101">
        <v>0</v>
      </c>
      <c r="K68" s="141">
        <v>0</v>
      </c>
    </row>
    <row r="69" spans="1:11" ht="18" customHeight="1" x14ac:dyDescent="0.2">
      <c r="A69" s="526" t="s">
        <v>104</v>
      </c>
      <c r="B69" s="547" t="s">
        <v>53</v>
      </c>
      <c r="C69" s="520"/>
      <c r="D69" s="520"/>
      <c r="E69" s="520"/>
      <c r="F69" s="101">
        <v>0</v>
      </c>
      <c r="G69" s="101">
        <v>0</v>
      </c>
      <c r="H69" s="101">
        <v>0</v>
      </c>
      <c r="I69" s="144">
        <v>0</v>
      </c>
      <c r="J69" s="101">
        <v>0</v>
      </c>
      <c r="K69" s="141">
        <v>0</v>
      </c>
    </row>
    <row r="70" spans="1:11" ht="18" customHeight="1" x14ac:dyDescent="0.2">
      <c r="A70" s="526" t="s">
        <v>178</v>
      </c>
      <c r="B70" s="578"/>
      <c r="C70" s="579"/>
      <c r="D70" s="580"/>
      <c r="E70" s="525"/>
      <c r="F70" s="101">
        <v>0</v>
      </c>
      <c r="G70" s="101">
        <v>0</v>
      </c>
      <c r="H70" s="101">
        <v>0</v>
      </c>
      <c r="I70" s="144">
        <v>0</v>
      </c>
      <c r="J70" s="101">
        <v>0</v>
      </c>
      <c r="K70" s="141">
        <v>0</v>
      </c>
    </row>
    <row r="71" spans="1:11" ht="18" customHeight="1" x14ac:dyDescent="0.2">
      <c r="A71" s="526" t="s">
        <v>179</v>
      </c>
      <c r="B71" s="578"/>
      <c r="C71" s="579"/>
      <c r="D71" s="580"/>
      <c r="E71" s="525"/>
      <c r="F71" s="101">
        <v>0</v>
      </c>
      <c r="G71" s="101">
        <v>0</v>
      </c>
      <c r="H71" s="101">
        <v>0</v>
      </c>
      <c r="I71" s="144">
        <v>0</v>
      </c>
      <c r="J71" s="101">
        <v>0</v>
      </c>
      <c r="K71" s="141">
        <v>0</v>
      </c>
    </row>
    <row r="72" spans="1:11" ht="18" customHeight="1" x14ac:dyDescent="0.2">
      <c r="A72" s="526" t="s">
        <v>180</v>
      </c>
      <c r="B72" s="581"/>
      <c r="C72" s="582"/>
      <c r="D72" s="583"/>
      <c r="E72" s="525"/>
      <c r="F72" s="101">
        <v>0</v>
      </c>
      <c r="G72" s="101">
        <v>0</v>
      </c>
      <c r="H72" s="101">
        <v>0</v>
      </c>
      <c r="I72" s="144">
        <v>0</v>
      </c>
      <c r="J72" s="101">
        <v>0</v>
      </c>
      <c r="K72" s="141">
        <v>0</v>
      </c>
    </row>
    <row r="73" spans="1:11" ht="18" customHeight="1" x14ac:dyDescent="0.2">
      <c r="A73" s="526"/>
      <c r="B73" s="547"/>
      <c r="C73" s="520"/>
      <c r="D73" s="520"/>
      <c r="E73" s="525"/>
      <c r="F73" s="584"/>
      <c r="G73" s="584"/>
      <c r="H73" s="146"/>
      <c r="I73" s="146"/>
      <c r="J73" s="146"/>
      <c r="K73" s="146"/>
    </row>
    <row r="74" spans="1:11" ht="18" customHeight="1" x14ac:dyDescent="0.2">
      <c r="A74" s="546" t="s">
        <v>146</v>
      </c>
      <c r="B74" s="525" t="s">
        <v>147</v>
      </c>
      <c r="C74" s="520"/>
      <c r="D74" s="520"/>
      <c r="E74" s="525" t="s">
        <v>7</v>
      </c>
      <c r="F74" s="142">
        <v>0</v>
      </c>
      <c r="G74" s="142">
        <v>0</v>
      </c>
      <c r="H74" s="142">
        <v>0</v>
      </c>
      <c r="I74" s="144">
        <v>0</v>
      </c>
      <c r="J74" s="142">
        <v>0</v>
      </c>
      <c r="K74" s="141">
        <v>0</v>
      </c>
    </row>
    <row r="75" spans="1:11" ht="42.75" customHeight="1" x14ac:dyDescent="0.2">
      <c r="A75" s="520"/>
      <c r="B75" s="520"/>
      <c r="C75" s="520"/>
      <c r="D75" s="520"/>
      <c r="E75" s="520"/>
      <c r="F75" s="545" t="s">
        <v>9</v>
      </c>
      <c r="G75" s="545" t="s">
        <v>37</v>
      </c>
      <c r="H75" s="545" t="s">
        <v>29</v>
      </c>
      <c r="I75" s="545" t="s">
        <v>30</v>
      </c>
      <c r="J75" s="545" t="s">
        <v>33</v>
      </c>
      <c r="K75" s="545" t="s">
        <v>34</v>
      </c>
    </row>
    <row r="76" spans="1:11" ht="18" customHeight="1" x14ac:dyDescent="0.2">
      <c r="A76" s="546" t="s">
        <v>105</v>
      </c>
      <c r="B76" s="525" t="s">
        <v>106</v>
      </c>
      <c r="C76" s="520"/>
      <c r="D76" s="520"/>
      <c r="E76" s="520"/>
      <c r="F76" s="520"/>
      <c r="G76" s="520"/>
      <c r="H76" s="520"/>
      <c r="I76" s="520"/>
      <c r="J76" s="520"/>
      <c r="K76" s="520"/>
    </row>
    <row r="77" spans="1:11" ht="18" customHeight="1" x14ac:dyDescent="0.2">
      <c r="A77" s="526" t="s">
        <v>107</v>
      </c>
      <c r="B77" s="547" t="s">
        <v>54</v>
      </c>
      <c r="C77" s="520"/>
      <c r="D77" s="520"/>
      <c r="E77" s="520"/>
      <c r="F77" s="101">
        <v>0</v>
      </c>
      <c r="G77" s="101">
        <v>0</v>
      </c>
      <c r="H77" s="101">
        <v>0</v>
      </c>
      <c r="I77" s="144">
        <v>0</v>
      </c>
      <c r="J77" s="101">
        <v>0</v>
      </c>
      <c r="K77" s="141">
        <v>0</v>
      </c>
    </row>
    <row r="78" spans="1:11" ht="18" customHeight="1" x14ac:dyDescent="0.2">
      <c r="A78" s="526" t="s">
        <v>108</v>
      </c>
      <c r="B78" s="547" t="s">
        <v>55</v>
      </c>
      <c r="C78" s="520"/>
      <c r="D78" s="520"/>
      <c r="E78" s="520"/>
      <c r="F78" s="101">
        <v>0</v>
      </c>
      <c r="G78" s="101">
        <v>0</v>
      </c>
      <c r="H78" s="101">
        <v>0</v>
      </c>
      <c r="I78" s="144">
        <v>0</v>
      </c>
      <c r="J78" s="101">
        <v>0</v>
      </c>
      <c r="K78" s="141">
        <v>0</v>
      </c>
    </row>
    <row r="79" spans="1:11" ht="18" customHeight="1" x14ac:dyDescent="0.2">
      <c r="A79" s="526" t="s">
        <v>109</v>
      </c>
      <c r="B79" s="547" t="s">
        <v>13</v>
      </c>
      <c r="C79" s="520"/>
      <c r="D79" s="520"/>
      <c r="E79" s="520"/>
      <c r="F79" s="101">
        <v>281</v>
      </c>
      <c r="G79" s="101">
        <v>1161</v>
      </c>
      <c r="H79" s="101">
        <v>10126.424999999999</v>
      </c>
      <c r="I79" s="144">
        <v>5063.2124999999996</v>
      </c>
      <c r="J79" s="101">
        <v>0</v>
      </c>
      <c r="K79" s="141">
        <v>15189.637499999999</v>
      </c>
    </row>
    <row r="80" spans="1:11" ht="18" customHeight="1" x14ac:dyDescent="0.2">
      <c r="A80" s="526" t="s">
        <v>110</v>
      </c>
      <c r="B80" s="547" t="s">
        <v>56</v>
      </c>
      <c r="C80" s="520"/>
      <c r="D80" s="520"/>
      <c r="E80" s="520"/>
      <c r="F80" s="101">
        <v>0</v>
      </c>
      <c r="G80" s="101">
        <v>0</v>
      </c>
      <c r="H80" s="101">
        <v>0</v>
      </c>
      <c r="I80" s="144">
        <v>0</v>
      </c>
      <c r="J80" s="101">
        <v>0</v>
      </c>
      <c r="K80" s="141">
        <v>0</v>
      </c>
    </row>
    <row r="81" spans="1:11" ht="18" customHeight="1" x14ac:dyDescent="0.2">
      <c r="A81" s="526"/>
      <c r="B81" s="520"/>
      <c r="C81" s="520"/>
      <c r="D81" s="520"/>
      <c r="E81" s="520"/>
      <c r="F81" s="520"/>
      <c r="G81" s="520"/>
      <c r="H81" s="520"/>
      <c r="I81" s="520"/>
      <c r="J81" s="520"/>
      <c r="K81" s="585"/>
    </row>
    <row r="82" spans="1:11" ht="18" customHeight="1" x14ac:dyDescent="0.2">
      <c r="A82" s="526" t="s">
        <v>148</v>
      </c>
      <c r="B82" s="525" t="s">
        <v>149</v>
      </c>
      <c r="C82" s="520"/>
      <c r="D82" s="520"/>
      <c r="E82" s="525" t="s">
        <v>7</v>
      </c>
      <c r="F82" s="142">
        <v>281</v>
      </c>
      <c r="G82" s="142">
        <v>1161</v>
      </c>
      <c r="H82" s="141">
        <v>10126.424999999999</v>
      </c>
      <c r="I82" s="141">
        <v>5063.2124999999996</v>
      </c>
      <c r="J82" s="141">
        <v>0</v>
      </c>
      <c r="K82" s="141">
        <v>15189.637499999999</v>
      </c>
    </row>
    <row r="83" spans="1:11" ht="18" customHeight="1" thickBot="1" x14ac:dyDescent="0.25">
      <c r="A83" s="526"/>
      <c r="B83" s="520"/>
      <c r="C83" s="520"/>
      <c r="D83" s="520"/>
      <c r="E83" s="520"/>
      <c r="F83" s="562"/>
      <c r="G83" s="562"/>
      <c r="H83" s="562"/>
      <c r="I83" s="562"/>
      <c r="J83" s="562"/>
      <c r="K83" s="562"/>
    </row>
    <row r="84" spans="1:11" ht="42.75" customHeight="1" x14ac:dyDescent="0.2">
      <c r="A84" s="520"/>
      <c r="B84" s="520"/>
      <c r="C84" s="520"/>
      <c r="D84" s="520"/>
      <c r="E84" s="520"/>
      <c r="F84" s="545" t="s">
        <v>9</v>
      </c>
      <c r="G84" s="545" t="s">
        <v>37</v>
      </c>
      <c r="H84" s="545" t="s">
        <v>29</v>
      </c>
      <c r="I84" s="545" t="s">
        <v>30</v>
      </c>
      <c r="J84" s="545" t="s">
        <v>33</v>
      </c>
      <c r="K84" s="545" t="s">
        <v>34</v>
      </c>
    </row>
    <row r="85" spans="1:11" ht="18" customHeight="1" x14ac:dyDescent="0.2">
      <c r="A85" s="546" t="s">
        <v>111</v>
      </c>
      <c r="B85" s="525" t="s">
        <v>57</v>
      </c>
      <c r="C85" s="520"/>
      <c r="D85" s="520"/>
      <c r="E85" s="520"/>
      <c r="F85" s="520"/>
      <c r="G85" s="520"/>
      <c r="H85" s="520"/>
      <c r="I85" s="520"/>
      <c r="J85" s="520"/>
      <c r="K85" s="520"/>
    </row>
    <row r="86" spans="1:11" ht="18" customHeight="1" x14ac:dyDescent="0.2">
      <c r="A86" s="526" t="s">
        <v>112</v>
      </c>
      <c r="B86" s="547" t="s">
        <v>113</v>
      </c>
      <c r="C86" s="520"/>
      <c r="D86" s="520"/>
      <c r="E86" s="520"/>
      <c r="F86" s="101">
        <v>0</v>
      </c>
      <c r="G86" s="101">
        <v>0</v>
      </c>
      <c r="H86" s="101">
        <v>0</v>
      </c>
      <c r="I86" s="144">
        <v>0</v>
      </c>
      <c r="J86" s="101">
        <v>0</v>
      </c>
      <c r="K86" s="141">
        <v>0</v>
      </c>
    </row>
    <row r="87" spans="1:11" ht="18" customHeight="1" x14ac:dyDescent="0.2">
      <c r="A87" s="526" t="s">
        <v>114</v>
      </c>
      <c r="B87" s="547" t="s">
        <v>14</v>
      </c>
      <c r="C87" s="520"/>
      <c r="D87" s="520"/>
      <c r="E87" s="520"/>
      <c r="F87" s="101">
        <v>0</v>
      </c>
      <c r="G87" s="101">
        <v>0</v>
      </c>
      <c r="H87" s="101">
        <v>0</v>
      </c>
      <c r="I87" s="144">
        <v>0</v>
      </c>
      <c r="J87" s="101">
        <v>0</v>
      </c>
      <c r="K87" s="141">
        <v>0</v>
      </c>
    </row>
    <row r="88" spans="1:11" ht="18" customHeight="1" x14ac:dyDescent="0.2">
      <c r="A88" s="526" t="s">
        <v>115</v>
      </c>
      <c r="B88" s="547" t="s">
        <v>116</v>
      </c>
      <c r="C88" s="520"/>
      <c r="D88" s="520"/>
      <c r="E88" s="520"/>
      <c r="F88" s="101">
        <v>24</v>
      </c>
      <c r="G88" s="101">
        <v>0</v>
      </c>
      <c r="H88" s="101">
        <v>2275.2000000000003</v>
      </c>
      <c r="I88" s="144">
        <v>1137.6000000000001</v>
      </c>
      <c r="J88" s="101">
        <v>0</v>
      </c>
      <c r="K88" s="141">
        <v>3412.8</v>
      </c>
    </row>
    <row r="89" spans="1:11" ht="18" customHeight="1" x14ac:dyDescent="0.2">
      <c r="A89" s="526" t="s">
        <v>117</v>
      </c>
      <c r="B89" s="547" t="s">
        <v>58</v>
      </c>
      <c r="C89" s="520"/>
      <c r="D89" s="520"/>
      <c r="E89" s="520"/>
      <c r="F89" s="101">
        <v>0</v>
      </c>
      <c r="G89" s="101">
        <v>0</v>
      </c>
      <c r="H89" s="101">
        <v>0</v>
      </c>
      <c r="I89" s="144">
        <v>0</v>
      </c>
      <c r="J89" s="101">
        <v>0</v>
      </c>
      <c r="K89" s="141">
        <v>0</v>
      </c>
    </row>
    <row r="90" spans="1:11" ht="18" customHeight="1" x14ac:dyDescent="0.2">
      <c r="A90" s="526" t="s">
        <v>118</v>
      </c>
      <c r="B90" s="558" t="s">
        <v>59</v>
      </c>
      <c r="C90" s="559"/>
      <c r="D90" s="520"/>
      <c r="E90" s="520"/>
      <c r="F90" s="101">
        <v>0</v>
      </c>
      <c r="G90" s="101">
        <v>0</v>
      </c>
      <c r="H90" s="101">
        <v>0</v>
      </c>
      <c r="I90" s="144">
        <v>0</v>
      </c>
      <c r="J90" s="101">
        <v>0</v>
      </c>
      <c r="K90" s="141">
        <v>0</v>
      </c>
    </row>
    <row r="91" spans="1:11" ht="18" customHeight="1" x14ac:dyDescent="0.2">
      <c r="A91" s="526" t="s">
        <v>119</v>
      </c>
      <c r="B91" s="547" t="s">
        <v>60</v>
      </c>
      <c r="C91" s="520"/>
      <c r="D91" s="520"/>
      <c r="E91" s="520"/>
      <c r="F91" s="101">
        <v>17</v>
      </c>
      <c r="G91" s="101">
        <v>1250</v>
      </c>
      <c r="H91" s="101">
        <v>1119.675</v>
      </c>
      <c r="I91" s="144">
        <v>559.83749999999998</v>
      </c>
      <c r="J91" s="101">
        <v>0</v>
      </c>
      <c r="K91" s="141">
        <v>1679.5124999999998</v>
      </c>
    </row>
    <row r="92" spans="1:11" ht="18" customHeight="1" x14ac:dyDescent="0.2">
      <c r="A92" s="526" t="s">
        <v>120</v>
      </c>
      <c r="B92" s="547" t="s">
        <v>121</v>
      </c>
      <c r="C92" s="520"/>
      <c r="D92" s="520"/>
      <c r="E92" s="520"/>
      <c r="F92" s="101">
        <v>172</v>
      </c>
      <c r="G92" s="101">
        <v>15020</v>
      </c>
      <c r="H92" s="101">
        <v>11785.6875</v>
      </c>
      <c r="I92" s="144">
        <v>5892.84375</v>
      </c>
      <c r="J92" s="101">
        <v>0</v>
      </c>
      <c r="K92" s="141">
        <v>17678.53125</v>
      </c>
    </row>
    <row r="93" spans="1:11" ht="18" customHeight="1" x14ac:dyDescent="0.2">
      <c r="A93" s="526" t="s">
        <v>122</v>
      </c>
      <c r="B93" s="547" t="s">
        <v>123</v>
      </c>
      <c r="C93" s="520"/>
      <c r="D93" s="520"/>
      <c r="E93" s="520"/>
      <c r="F93" s="101">
        <v>200</v>
      </c>
      <c r="G93" s="101">
        <v>8</v>
      </c>
      <c r="H93" s="101">
        <v>10671.999999999998</v>
      </c>
      <c r="I93" s="144">
        <v>5335.9999999999991</v>
      </c>
      <c r="J93" s="101">
        <v>0</v>
      </c>
      <c r="K93" s="141">
        <v>16007.999999999996</v>
      </c>
    </row>
    <row r="94" spans="1:11" ht="18" customHeight="1" x14ac:dyDescent="0.2">
      <c r="A94" s="526" t="s">
        <v>124</v>
      </c>
      <c r="B94" s="568"/>
      <c r="C94" s="569"/>
      <c r="D94" s="567"/>
      <c r="E94" s="520"/>
      <c r="F94" s="101">
        <v>0</v>
      </c>
      <c r="G94" s="101">
        <v>0</v>
      </c>
      <c r="H94" s="101">
        <v>0</v>
      </c>
      <c r="I94" s="144">
        <v>0</v>
      </c>
      <c r="J94" s="101">
        <v>0</v>
      </c>
      <c r="K94" s="141">
        <v>0</v>
      </c>
    </row>
    <row r="95" spans="1:11" ht="18" customHeight="1" x14ac:dyDescent="0.2">
      <c r="A95" s="526" t="s">
        <v>125</v>
      </c>
      <c r="B95" s="568"/>
      <c r="C95" s="569"/>
      <c r="D95" s="567"/>
      <c r="E95" s="520"/>
      <c r="F95" s="101">
        <v>0</v>
      </c>
      <c r="G95" s="101">
        <v>0</v>
      </c>
      <c r="H95" s="101">
        <v>0</v>
      </c>
      <c r="I95" s="144">
        <v>0</v>
      </c>
      <c r="J95" s="101">
        <v>0</v>
      </c>
      <c r="K95" s="141">
        <v>0</v>
      </c>
    </row>
    <row r="96" spans="1:11" ht="18" customHeight="1" x14ac:dyDescent="0.2">
      <c r="A96" s="526" t="s">
        <v>126</v>
      </c>
      <c r="B96" s="568"/>
      <c r="C96" s="569"/>
      <c r="D96" s="567"/>
      <c r="E96" s="520"/>
      <c r="F96" s="101">
        <v>0</v>
      </c>
      <c r="G96" s="101">
        <v>0</v>
      </c>
      <c r="H96" s="101">
        <v>0</v>
      </c>
      <c r="I96" s="144">
        <v>0</v>
      </c>
      <c r="J96" s="101">
        <v>0</v>
      </c>
      <c r="K96" s="141">
        <v>0</v>
      </c>
    </row>
    <row r="97" spans="1:11" ht="18" customHeight="1" x14ac:dyDescent="0.2">
      <c r="A97" s="526"/>
      <c r="B97" s="547"/>
      <c r="C97" s="520"/>
      <c r="D97" s="520"/>
      <c r="E97" s="520"/>
      <c r="F97" s="520"/>
      <c r="G97" s="520"/>
      <c r="H97" s="520"/>
      <c r="I97" s="520"/>
      <c r="J97" s="520"/>
      <c r="K97" s="520"/>
    </row>
    <row r="98" spans="1:11" ht="18" customHeight="1" x14ac:dyDescent="0.2">
      <c r="A98" s="546" t="s">
        <v>150</v>
      </c>
      <c r="B98" s="525" t="s">
        <v>151</v>
      </c>
      <c r="C98" s="520"/>
      <c r="D98" s="520"/>
      <c r="E98" s="525" t="s">
        <v>7</v>
      </c>
      <c r="F98" s="101">
        <v>413</v>
      </c>
      <c r="G98" s="101">
        <v>16278</v>
      </c>
      <c r="H98" s="101">
        <v>25852.5625</v>
      </c>
      <c r="I98" s="101">
        <v>12926.28125</v>
      </c>
      <c r="J98" s="101">
        <v>0</v>
      </c>
      <c r="K98" s="101">
        <v>38778.84375</v>
      </c>
    </row>
    <row r="99" spans="1:11" ht="18" customHeight="1" thickBot="1" x14ac:dyDescent="0.25">
      <c r="A99" s="520"/>
      <c r="B99" s="525"/>
      <c r="C99" s="520"/>
      <c r="D99" s="520"/>
      <c r="E99" s="520"/>
      <c r="F99" s="562"/>
      <c r="G99" s="562"/>
      <c r="H99" s="562"/>
      <c r="I99" s="562"/>
      <c r="J99" s="562"/>
      <c r="K99" s="562"/>
    </row>
    <row r="100" spans="1:11" ht="42.75" customHeight="1" x14ac:dyDescent="0.2">
      <c r="A100" s="520"/>
      <c r="B100" s="520"/>
      <c r="C100" s="520"/>
      <c r="D100" s="520"/>
      <c r="E100" s="520"/>
      <c r="F100" s="545" t="s">
        <v>9</v>
      </c>
      <c r="G100" s="545" t="s">
        <v>37</v>
      </c>
      <c r="H100" s="545" t="s">
        <v>29</v>
      </c>
      <c r="I100" s="545" t="s">
        <v>30</v>
      </c>
      <c r="J100" s="545" t="s">
        <v>33</v>
      </c>
      <c r="K100" s="545" t="s">
        <v>34</v>
      </c>
    </row>
    <row r="101" spans="1:11" ht="18" customHeight="1" x14ac:dyDescent="0.2">
      <c r="A101" s="546" t="s">
        <v>130</v>
      </c>
      <c r="B101" s="525" t="s">
        <v>63</v>
      </c>
      <c r="C101" s="520"/>
      <c r="D101" s="520"/>
      <c r="E101" s="520"/>
      <c r="F101" s="520"/>
      <c r="G101" s="520"/>
      <c r="H101" s="520"/>
      <c r="I101" s="520"/>
      <c r="J101" s="520"/>
      <c r="K101" s="520"/>
    </row>
    <row r="102" spans="1:11" ht="18" customHeight="1" x14ac:dyDescent="0.2">
      <c r="A102" s="526" t="s">
        <v>131</v>
      </c>
      <c r="B102" s="547" t="s">
        <v>152</v>
      </c>
      <c r="C102" s="520"/>
      <c r="D102" s="520"/>
      <c r="E102" s="520"/>
      <c r="F102" s="101">
        <v>3097</v>
      </c>
      <c r="G102" s="101">
        <v>868</v>
      </c>
      <c r="H102" s="101">
        <v>105339.04999999999</v>
      </c>
      <c r="I102" s="144">
        <v>52669.524999999994</v>
      </c>
      <c r="J102" s="101">
        <v>0</v>
      </c>
      <c r="K102" s="141">
        <v>158008.57499999998</v>
      </c>
    </row>
    <row r="103" spans="1:11" ht="18" customHeight="1" x14ac:dyDescent="0.2">
      <c r="A103" s="526" t="s">
        <v>132</v>
      </c>
      <c r="B103" s="558" t="s">
        <v>62</v>
      </c>
      <c r="C103" s="558"/>
      <c r="D103" s="520"/>
      <c r="E103" s="520"/>
      <c r="F103" s="101">
        <v>54</v>
      </c>
      <c r="G103" s="101">
        <v>410</v>
      </c>
      <c r="H103" s="101">
        <v>2322.85</v>
      </c>
      <c r="I103" s="144">
        <v>1161.425</v>
      </c>
      <c r="J103" s="101">
        <v>0</v>
      </c>
      <c r="K103" s="141">
        <v>3484.2749999999996</v>
      </c>
    </row>
    <row r="104" spans="1:11" ht="18" customHeight="1" x14ac:dyDescent="0.2">
      <c r="A104" s="526" t="s">
        <v>128</v>
      </c>
      <c r="B104" s="568"/>
      <c r="C104" s="569"/>
      <c r="D104" s="567"/>
      <c r="E104" s="520"/>
      <c r="F104" s="101">
        <v>0</v>
      </c>
      <c r="G104" s="101">
        <v>0</v>
      </c>
      <c r="H104" s="101">
        <v>0</v>
      </c>
      <c r="I104" s="144">
        <v>0</v>
      </c>
      <c r="J104" s="101">
        <v>0</v>
      </c>
      <c r="K104" s="141">
        <v>0</v>
      </c>
    </row>
    <row r="105" spans="1:11" ht="18" customHeight="1" x14ac:dyDescent="0.2">
      <c r="A105" s="526" t="s">
        <v>127</v>
      </c>
      <c r="B105" s="568"/>
      <c r="C105" s="569"/>
      <c r="D105" s="567"/>
      <c r="E105" s="520"/>
      <c r="F105" s="101">
        <v>0</v>
      </c>
      <c r="G105" s="101">
        <v>0</v>
      </c>
      <c r="H105" s="101">
        <v>0</v>
      </c>
      <c r="I105" s="144">
        <v>0</v>
      </c>
      <c r="J105" s="101">
        <v>0</v>
      </c>
      <c r="K105" s="141">
        <v>0</v>
      </c>
    </row>
    <row r="106" spans="1:11" ht="18" customHeight="1" x14ac:dyDescent="0.2">
      <c r="A106" s="526" t="s">
        <v>129</v>
      </c>
      <c r="B106" s="568"/>
      <c r="C106" s="569"/>
      <c r="D106" s="567"/>
      <c r="E106" s="520"/>
      <c r="F106" s="101">
        <v>0</v>
      </c>
      <c r="G106" s="101">
        <v>0</v>
      </c>
      <c r="H106" s="101">
        <v>0</v>
      </c>
      <c r="I106" s="144">
        <v>0</v>
      </c>
      <c r="J106" s="101">
        <v>0</v>
      </c>
      <c r="K106" s="141">
        <v>0</v>
      </c>
    </row>
    <row r="107" spans="1:11" ht="18" customHeight="1" x14ac:dyDescent="0.2">
      <c r="A107" s="520"/>
      <c r="B107" s="525"/>
      <c r="C107" s="520"/>
      <c r="D107" s="520"/>
      <c r="E107" s="520"/>
      <c r="F107" s="520"/>
      <c r="G107" s="520"/>
      <c r="H107" s="520"/>
      <c r="I107" s="520"/>
      <c r="J107" s="520"/>
      <c r="K107" s="520"/>
    </row>
    <row r="108" spans="1:11" s="468" customFormat="1" ht="18" customHeight="1" x14ac:dyDescent="0.2">
      <c r="A108" s="546" t="s">
        <v>153</v>
      </c>
      <c r="B108" s="586" t="s">
        <v>154</v>
      </c>
      <c r="C108" s="520"/>
      <c r="D108" s="520"/>
      <c r="E108" s="525" t="s">
        <v>7</v>
      </c>
      <c r="F108" s="101">
        <v>3151</v>
      </c>
      <c r="G108" s="101">
        <v>1278</v>
      </c>
      <c r="H108" s="141">
        <v>107661.9</v>
      </c>
      <c r="I108" s="141">
        <v>53830.95</v>
      </c>
      <c r="J108" s="141">
        <v>0</v>
      </c>
      <c r="K108" s="141">
        <v>161492.84999999998</v>
      </c>
    </row>
    <row r="109" spans="1:11" s="468" customFormat="1" ht="18" customHeight="1" thickBot="1" x14ac:dyDescent="0.25">
      <c r="A109" s="587"/>
      <c r="B109" s="588"/>
      <c r="C109" s="589"/>
      <c r="D109" s="589"/>
      <c r="E109" s="589"/>
      <c r="F109" s="562"/>
      <c r="G109" s="562"/>
      <c r="H109" s="562"/>
      <c r="I109" s="562"/>
      <c r="J109" s="562"/>
      <c r="K109" s="562"/>
    </row>
    <row r="110" spans="1:11" s="468" customFormat="1" ht="18" customHeight="1" x14ac:dyDescent="0.2">
      <c r="A110" s="546" t="s">
        <v>156</v>
      </c>
      <c r="B110" s="525" t="s">
        <v>39</v>
      </c>
      <c r="C110" s="520"/>
      <c r="D110" s="520"/>
      <c r="E110" s="520"/>
      <c r="F110" s="520"/>
      <c r="G110" s="520"/>
      <c r="H110" s="520"/>
      <c r="I110" s="520"/>
      <c r="J110" s="520"/>
      <c r="K110" s="520"/>
    </row>
    <row r="111" spans="1:11" ht="18" customHeight="1" x14ac:dyDescent="0.2">
      <c r="A111" s="546" t="s">
        <v>155</v>
      </c>
      <c r="B111" s="525" t="s">
        <v>164</v>
      </c>
      <c r="C111" s="520"/>
      <c r="D111" s="520"/>
      <c r="E111" s="525" t="s">
        <v>7</v>
      </c>
      <c r="F111" s="141">
        <v>86541</v>
      </c>
      <c r="G111" s="520"/>
      <c r="H111" s="520"/>
      <c r="I111" s="520"/>
      <c r="J111" s="520"/>
      <c r="K111" s="520"/>
    </row>
    <row r="112" spans="1:11" ht="18" customHeight="1" x14ac:dyDescent="0.2">
      <c r="A112" s="520"/>
      <c r="B112" s="525"/>
      <c r="C112" s="520"/>
      <c r="D112" s="520"/>
      <c r="E112" s="525"/>
      <c r="F112" s="590"/>
      <c r="G112" s="520"/>
      <c r="H112" s="520"/>
      <c r="I112" s="520"/>
      <c r="J112" s="520"/>
      <c r="K112" s="520"/>
    </row>
    <row r="113" spans="1:12" ht="12.75" x14ac:dyDescent="0.2">
      <c r="A113" s="546"/>
      <c r="B113" s="525" t="s">
        <v>15</v>
      </c>
      <c r="C113" s="520"/>
      <c r="D113" s="520"/>
      <c r="E113" s="520"/>
      <c r="F113" s="520"/>
    </row>
    <row r="114" spans="1:12" ht="12.75" x14ac:dyDescent="0.2">
      <c r="A114" s="526" t="s">
        <v>171</v>
      </c>
      <c r="B114" s="547" t="s">
        <v>35</v>
      </c>
      <c r="C114" s="520"/>
      <c r="D114" s="520"/>
      <c r="E114" s="520"/>
      <c r="F114" s="763">
        <v>0.5</v>
      </c>
    </row>
    <row r="115" spans="1:12" ht="12.75" x14ac:dyDescent="0.2">
      <c r="A115" s="526"/>
      <c r="B115" s="525"/>
      <c r="C115" s="520"/>
      <c r="D115" s="520"/>
      <c r="E115" s="520"/>
      <c r="F115" s="520"/>
    </row>
    <row r="116" spans="1:12" ht="12.75" x14ac:dyDescent="0.2">
      <c r="A116" s="526" t="s">
        <v>170</v>
      </c>
      <c r="B116" s="525" t="s">
        <v>16</v>
      </c>
      <c r="C116" s="520"/>
      <c r="D116" s="520"/>
      <c r="E116" s="520"/>
      <c r="F116" s="520"/>
    </row>
    <row r="117" spans="1:12" ht="12.75" x14ac:dyDescent="0.2">
      <c r="A117" s="526" t="s">
        <v>172</v>
      </c>
      <c r="B117" s="547" t="s">
        <v>17</v>
      </c>
      <c r="C117" s="520"/>
      <c r="D117" s="520"/>
      <c r="E117" s="520"/>
      <c r="F117" s="141">
        <v>62048657</v>
      </c>
    </row>
    <row r="118" spans="1:12" ht="12.75" x14ac:dyDescent="0.2">
      <c r="A118" s="526" t="s">
        <v>173</v>
      </c>
      <c r="B118" s="520" t="s">
        <v>18</v>
      </c>
      <c r="C118" s="520"/>
      <c r="D118" s="520"/>
      <c r="E118" s="520"/>
      <c r="F118" s="141">
        <v>980540</v>
      </c>
    </row>
    <row r="119" spans="1:12" ht="12.75" x14ac:dyDescent="0.2">
      <c r="A119" s="526" t="s">
        <v>174</v>
      </c>
      <c r="B119" s="525" t="s">
        <v>19</v>
      </c>
      <c r="C119" s="520"/>
      <c r="D119" s="520"/>
      <c r="E119" s="520"/>
      <c r="F119" s="141">
        <v>63029197</v>
      </c>
    </row>
    <row r="120" spans="1:12" ht="12.75" x14ac:dyDescent="0.2">
      <c r="A120" s="526"/>
      <c r="B120" s="525"/>
      <c r="C120" s="520"/>
      <c r="D120" s="520"/>
      <c r="E120" s="520"/>
      <c r="F120" s="520"/>
      <c r="L120" s="499">
        <f>SUM('#5034-Mt Washington Pediatric'!K152)</f>
        <v>1476801.6781249996</v>
      </c>
    </row>
    <row r="121" spans="1:12" ht="12.75" x14ac:dyDescent="0.2">
      <c r="A121" s="526" t="s">
        <v>167</v>
      </c>
      <c r="B121" s="525" t="s">
        <v>36</v>
      </c>
      <c r="C121" s="520"/>
      <c r="D121" s="520"/>
      <c r="E121" s="520"/>
      <c r="F121" s="141">
        <v>58944476</v>
      </c>
    </row>
    <row r="122" spans="1:12" ht="12.75" x14ac:dyDescent="0.2">
      <c r="A122" s="526"/>
      <c r="B122" s="520"/>
      <c r="C122" s="520"/>
      <c r="D122" s="520"/>
      <c r="E122" s="520"/>
      <c r="F122" s="520"/>
    </row>
    <row r="123" spans="1:12" ht="12.75" x14ac:dyDescent="0.2">
      <c r="A123" s="526" t="s">
        <v>175</v>
      </c>
      <c r="B123" s="525" t="s">
        <v>20</v>
      </c>
      <c r="C123" s="520"/>
      <c r="D123" s="520"/>
      <c r="E123" s="520"/>
      <c r="F123" s="141">
        <v>4084721</v>
      </c>
    </row>
    <row r="124" spans="1:12" ht="12.75" x14ac:dyDescent="0.2">
      <c r="A124" s="526"/>
      <c r="B124" s="520"/>
      <c r="C124" s="520"/>
      <c r="D124" s="520"/>
      <c r="E124" s="520"/>
      <c r="F124" s="520"/>
    </row>
    <row r="125" spans="1:12" ht="12.75" x14ac:dyDescent="0.2">
      <c r="A125" s="526" t="s">
        <v>176</v>
      </c>
      <c r="B125" s="525" t="s">
        <v>21</v>
      </c>
      <c r="C125" s="520"/>
      <c r="D125" s="520"/>
      <c r="E125" s="520"/>
      <c r="F125" s="947">
        <v>2696585</v>
      </c>
    </row>
    <row r="126" spans="1:12" ht="12.75" x14ac:dyDescent="0.2">
      <c r="A126" s="526"/>
      <c r="B126" s="520"/>
      <c r="C126" s="520"/>
      <c r="D126" s="520"/>
      <c r="E126" s="520"/>
      <c r="F126" s="520"/>
    </row>
    <row r="127" spans="1:12" ht="12.75" x14ac:dyDescent="0.2">
      <c r="A127" s="526" t="s">
        <v>177</v>
      </c>
      <c r="B127" s="525" t="s">
        <v>22</v>
      </c>
      <c r="C127" s="520"/>
      <c r="D127" s="520"/>
      <c r="E127" s="520"/>
      <c r="F127" s="141">
        <v>6781306</v>
      </c>
    </row>
    <row r="128" spans="1:12" ht="12.75" x14ac:dyDescent="0.2">
      <c r="A128" s="526"/>
      <c r="B128" s="520"/>
      <c r="C128" s="520"/>
      <c r="D128" s="520"/>
      <c r="E128" s="520"/>
      <c r="F128" s="520"/>
    </row>
    <row r="129" spans="1:11" ht="42.75" customHeight="1" x14ac:dyDescent="0.2">
      <c r="A129" s="520"/>
      <c r="B129" s="520"/>
      <c r="C129" s="520"/>
      <c r="D129" s="520"/>
      <c r="E129" s="520"/>
      <c r="F129" s="545" t="s">
        <v>9</v>
      </c>
      <c r="G129" s="545" t="s">
        <v>37</v>
      </c>
      <c r="H129" s="545" t="s">
        <v>29</v>
      </c>
      <c r="I129" s="545" t="s">
        <v>30</v>
      </c>
      <c r="J129" s="545" t="s">
        <v>33</v>
      </c>
      <c r="K129" s="545" t="s">
        <v>34</v>
      </c>
    </row>
    <row r="130" spans="1:11" ht="18" customHeight="1" x14ac:dyDescent="0.2">
      <c r="A130" s="546" t="s">
        <v>157</v>
      </c>
      <c r="B130" s="525" t="s">
        <v>23</v>
      </c>
      <c r="C130" s="520"/>
      <c r="D130" s="520"/>
      <c r="E130" s="520"/>
      <c r="F130" s="520"/>
      <c r="G130" s="520"/>
      <c r="H130" s="520"/>
      <c r="I130" s="520"/>
      <c r="J130" s="520"/>
      <c r="K130" s="520"/>
    </row>
    <row r="131" spans="1:11" ht="18" customHeight="1" x14ac:dyDescent="0.2">
      <c r="A131" s="526" t="s">
        <v>158</v>
      </c>
      <c r="B131" s="520" t="s">
        <v>24</v>
      </c>
      <c r="C131" s="520"/>
      <c r="D131" s="520"/>
      <c r="E131" s="520"/>
      <c r="F131" s="101">
        <v>0</v>
      </c>
      <c r="G131" s="101">
        <v>1017</v>
      </c>
      <c r="H131" s="141">
        <v>79999</v>
      </c>
      <c r="I131" s="144">
        <v>0</v>
      </c>
      <c r="J131" s="141">
        <v>0</v>
      </c>
      <c r="K131" s="141">
        <v>79999</v>
      </c>
    </row>
    <row r="132" spans="1:11" ht="18" customHeight="1" x14ac:dyDescent="0.2">
      <c r="A132" s="526" t="s">
        <v>159</v>
      </c>
      <c r="B132" s="520" t="s">
        <v>25</v>
      </c>
      <c r="C132" s="520"/>
      <c r="D132" s="520"/>
      <c r="E132" s="520"/>
      <c r="F132" s="101"/>
      <c r="G132" s="101"/>
      <c r="H132" s="141"/>
      <c r="I132" s="144">
        <v>0</v>
      </c>
      <c r="J132" s="141"/>
      <c r="K132" s="141">
        <v>0</v>
      </c>
    </row>
    <row r="133" spans="1:11" ht="18" customHeight="1" x14ac:dyDescent="0.2">
      <c r="A133" s="526" t="s">
        <v>160</v>
      </c>
      <c r="B133" s="548"/>
      <c r="C133" s="549"/>
      <c r="D133" s="550"/>
      <c r="E133" s="520"/>
      <c r="F133" s="101"/>
      <c r="G133" s="101"/>
      <c r="H133" s="141"/>
      <c r="I133" s="144">
        <v>0</v>
      </c>
      <c r="J133" s="141"/>
      <c r="K133" s="141">
        <v>0</v>
      </c>
    </row>
    <row r="134" spans="1:11" ht="18" customHeight="1" x14ac:dyDescent="0.2">
      <c r="A134" s="526" t="s">
        <v>161</v>
      </c>
      <c r="B134" s="548"/>
      <c r="C134" s="549"/>
      <c r="D134" s="550"/>
      <c r="E134" s="520"/>
      <c r="F134" s="101"/>
      <c r="G134" s="101"/>
      <c r="H134" s="141"/>
      <c r="I134" s="144">
        <v>0</v>
      </c>
      <c r="J134" s="141"/>
      <c r="K134" s="141">
        <v>0</v>
      </c>
    </row>
    <row r="135" spans="1:11" ht="18" customHeight="1" x14ac:dyDescent="0.2">
      <c r="A135" s="526" t="s">
        <v>162</v>
      </c>
      <c r="B135" s="548"/>
      <c r="C135" s="549"/>
      <c r="D135" s="550"/>
      <c r="E135" s="520"/>
      <c r="F135" s="101"/>
      <c r="G135" s="101"/>
      <c r="H135" s="141"/>
      <c r="I135" s="144">
        <v>0</v>
      </c>
      <c r="J135" s="141"/>
      <c r="K135" s="141">
        <v>0</v>
      </c>
    </row>
    <row r="136" spans="1:11" ht="18" customHeight="1" x14ac:dyDescent="0.2">
      <c r="A136" s="546"/>
      <c r="B136" s="520"/>
      <c r="C136" s="520"/>
      <c r="D136" s="520"/>
      <c r="E136" s="520"/>
      <c r="F136" s="520"/>
      <c r="G136" s="520"/>
      <c r="H136" s="520"/>
      <c r="I136" s="520"/>
      <c r="J136" s="520"/>
      <c r="K136" s="520"/>
    </row>
    <row r="137" spans="1:11" ht="18" customHeight="1" x14ac:dyDescent="0.2">
      <c r="A137" s="546" t="s">
        <v>163</v>
      </c>
      <c r="B137" s="525" t="s">
        <v>27</v>
      </c>
      <c r="C137" s="520"/>
      <c r="D137" s="520"/>
      <c r="E137" s="520"/>
      <c r="F137" s="101">
        <v>0</v>
      </c>
      <c r="G137" s="101">
        <v>1017</v>
      </c>
      <c r="H137" s="141">
        <v>79999</v>
      </c>
      <c r="I137" s="141">
        <v>0</v>
      </c>
      <c r="J137" s="141">
        <v>0</v>
      </c>
      <c r="K137" s="141">
        <v>79999</v>
      </c>
    </row>
    <row r="138" spans="1:11" ht="18" customHeight="1" x14ac:dyDescent="0.2">
      <c r="A138" s="520"/>
      <c r="B138" s="520"/>
      <c r="C138" s="520"/>
      <c r="D138" s="520"/>
      <c r="E138" s="520"/>
      <c r="F138" s="520"/>
      <c r="G138" s="520"/>
      <c r="H138" s="520"/>
      <c r="I138" s="520"/>
      <c r="J138" s="520"/>
      <c r="K138" s="520"/>
    </row>
    <row r="139" spans="1:11" ht="42.75" customHeight="1" x14ac:dyDescent="0.2">
      <c r="A139" s="520"/>
      <c r="B139" s="520"/>
      <c r="C139" s="520"/>
      <c r="D139" s="520"/>
      <c r="E139" s="520"/>
      <c r="F139" s="545" t="s">
        <v>9</v>
      </c>
      <c r="G139" s="545" t="s">
        <v>37</v>
      </c>
      <c r="H139" s="545" t="s">
        <v>29</v>
      </c>
      <c r="I139" s="545" t="s">
        <v>30</v>
      </c>
      <c r="J139" s="545" t="s">
        <v>33</v>
      </c>
      <c r="K139" s="545" t="s">
        <v>34</v>
      </c>
    </row>
    <row r="140" spans="1:11" ht="18" customHeight="1" x14ac:dyDescent="0.2">
      <c r="A140" s="546" t="s">
        <v>166</v>
      </c>
      <c r="B140" s="525" t="s">
        <v>26</v>
      </c>
      <c r="C140" s="520"/>
      <c r="D140" s="520"/>
      <c r="E140" s="520"/>
      <c r="F140" s="520"/>
      <c r="G140" s="520"/>
      <c r="H140" s="520"/>
      <c r="I140" s="520"/>
      <c r="J140" s="520"/>
      <c r="K140" s="520"/>
    </row>
    <row r="141" spans="1:11" ht="18" customHeight="1" x14ac:dyDescent="0.2">
      <c r="A141" s="526" t="s">
        <v>137</v>
      </c>
      <c r="B141" s="525" t="s">
        <v>64</v>
      </c>
      <c r="C141" s="520"/>
      <c r="D141" s="520"/>
      <c r="E141" s="520"/>
      <c r="F141" s="593">
        <v>1719.5</v>
      </c>
      <c r="G141" s="593">
        <v>27443</v>
      </c>
      <c r="H141" s="593">
        <v>66420.34375</v>
      </c>
      <c r="I141" s="593">
        <v>33210.171875</v>
      </c>
      <c r="J141" s="593">
        <v>0</v>
      </c>
      <c r="K141" s="593">
        <v>99630.515625</v>
      </c>
    </row>
    <row r="142" spans="1:11" ht="18" customHeight="1" x14ac:dyDescent="0.2">
      <c r="A142" s="526" t="s">
        <v>142</v>
      </c>
      <c r="B142" s="525" t="s">
        <v>65</v>
      </c>
      <c r="C142" s="520"/>
      <c r="D142" s="520"/>
      <c r="E142" s="520"/>
      <c r="F142" s="593">
        <v>6358</v>
      </c>
      <c r="G142" s="593">
        <v>495</v>
      </c>
      <c r="H142" s="593">
        <v>286861.88749999995</v>
      </c>
      <c r="I142" s="593">
        <v>143430.94374999998</v>
      </c>
      <c r="J142" s="593">
        <v>0</v>
      </c>
      <c r="K142" s="593">
        <v>430292.83124999993</v>
      </c>
    </row>
    <row r="143" spans="1:11" ht="18" customHeight="1" x14ac:dyDescent="0.2">
      <c r="A143" s="526" t="s">
        <v>144</v>
      </c>
      <c r="B143" s="525" t="s">
        <v>66</v>
      </c>
      <c r="C143" s="520"/>
      <c r="D143" s="520"/>
      <c r="E143" s="520"/>
      <c r="F143" s="593">
        <v>10750</v>
      </c>
      <c r="G143" s="593">
        <v>3443</v>
      </c>
      <c r="H143" s="593">
        <v>701418</v>
      </c>
      <c r="I143" s="593">
        <v>350709</v>
      </c>
      <c r="J143" s="593">
        <v>487250</v>
      </c>
      <c r="K143" s="593">
        <v>564877</v>
      </c>
    </row>
    <row r="144" spans="1:11" ht="18" customHeight="1" x14ac:dyDescent="0.2">
      <c r="A144" s="526" t="s">
        <v>146</v>
      </c>
      <c r="B144" s="525" t="s">
        <v>67</v>
      </c>
      <c r="C144" s="520"/>
      <c r="D144" s="520"/>
      <c r="E144" s="520"/>
      <c r="F144" s="593">
        <v>0</v>
      </c>
      <c r="G144" s="593">
        <v>0</v>
      </c>
      <c r="H144" s="593">
        <v>0</v>
      </c>
      <c r="I144" s="593">
        <v>0</v>
      </c>
      <c r="J144" s="593">
        <v>0</v>
      </c>
      <c r="K144" s="593">
        <v>0</v>
      </c>
    </row>
    <row r="145" spans="1:11" ht="18" customHeight="1" x14ac:dyDescent="0.2">
      <c r="A145" s="526" t="s">
        <v>148</v>
      </c>
      <c r="B145" s="525" t="s">
        <v>68</v>
      </c>
      <c r="C145" s="520"/>
      <c r="D145" s="520"/>
      <c r="E145" s="520"/>
      <c r="F145" s="593">
        <v>281</v>
      </c>
      <c r="G145" s="593">
        <v>1161</v>
      </c>
      <c r="H145" s="593">
        <v>10126.424999999999</v>
      </c>
      <c r="I145" s="593">
        <v>5063.2124999999996</v>
      </c>
      <c r="J145" s="593">
        <v>0</v>
      </c>
      <c r="K145" s="593">
        <v>15189.637499999999</v>
      </c>
    </row>
    <row r="146" spans="1:11" ht="18" customHeight="1" x14ac:dyDescent="0.2">
      <c r="A146" s="526" t="s">
        <v>150</v>
      </c>
      <c r="B146" s="525" t="s">
        <v>69</v>
      </c>
      <c r="C146" s="520"/>
      <c r="D146" s="520"/>
      <c r="E146" s="520"/>
      <c r="F146" s="593">
        <v>413</v>
      </c>
      <c r="G146" s="593">
        <v>16278</v>
      </c>
      <c r="H146" s="593">
        <v>25852.5625</v>
      </c>
      <c r="I146" s="593">
        <v>12926.28125</v>
      </c>
      <c r="J146" s="593">
        <v>0</v>
      </c>
      <c r="K146" s="593">
        <v>38778.84375</v>
      </c>
    </row>
    <row r="147" spans="1:11" ht="18" customHeight="1" x14ac:dyDescent="0.2">
      <c r="A147" s="526" t="s">
        <v>153</v>
      </c>
      <c r="B147" s="525" t="s">
        <v>61</v>
      </c>
      <c r="C147" s="520"/>
      <c r="D147" s="520"/>
      <c r="E147" s="520"/>
      <c r="F147" s="101">
        <v>3151</v>
      </c>
      <c r="G147" s="101">
        <v>1278</v>
      </c>
      <c r="H147" s="101">
        <v>107661.9</v>
      </c>
      <c r="I147" s="101">
        <v>53830.95</v>
      </c>
      <c r="J147" s="101">
        <v>0</v>
      </c>
      <c r="K147" s="101">
        <v>161492.84999999998</v>
      </c>
    </row>
    <row r="148" spans="1:11" ht="18" customHeight="1" x14ac:dyDescent="0.2">
      <c r="A148" s="526" t="s">
        <v>155</v>
      </c>
      <c r="B148" s="525" t="s">
        <v>70</v>
      </c>
      <c r="C148" s="520"/>
      <c r="D148" s="520"/>
      <c r="E148" s="520"/>
      <c r="F148" s="594" t="s">
        <v>73</v>
      </c>
      <c r="G148" s="594" t="s">
        <v>73</v>
      </c>
      <c r="H148" s="595" t="s">
        <v>73</v>
      </c>
      <c r="I148" s="595" t="s">
        <v>73</v>
      </c>
      <c r="J148" s="595" t="s">
        <v>73</v>
      </c>
      <c r="K148" s="759">
        <v>86541</v>
      </c>
    </row>
    <row r="149" spans="1:11" ht="18" customHeight="1" x14ac:dyDescent="0.2">
      <c r="A149" s="526" t="s">
        <v>163</v>
      </c>
      <c r="B149" s="525" t="s">
        <v>71</v>
      </c>
      <c r="C149" s="520"/>
      <c r="D149" s="520"/>
      <c r="E149" s="520"/>
      <c r="F149" s="101">
        <v>0</v>
      </c>
      <c r="G149" s="101">
        <v>1017</v>
      </c>
      <c r="H149" s="101">
        <v>79999</v>
      </c>
      <c r="I149" s="101">
        <v>0</v>
      </c>
      <c r="J149" s="101">
        <v>0</v>
      </c>
      <c r="K149" s="101">
        <v>79999</v>
      </c>
    </row>
    <row r="150" spans="1:11" ht="18" customHeight="1" x14ac:dyDescent="0.2">
      <c r="A150" s="526" t="s">
        <v>185</v>
      </c>
      <c r="B150" s="525" t="s">
        <v>186</v>
      </c>
      <c r="C150" s="520"/>
      <c r="D150" s="520"/>
      <c r="E150" s="520"/>
      <c r="F150" s="594" t="s">
        <v>73</v>
      </c>
      <c r="G150" s="594" t="s">
        <v>73</v>
      </c>
      <c r="H150" s="101">
        <v>0</v>
      </c>
      <c r="I150" s="101">
        <v>0</v>
      </c>
      <c r="J150" s="101">
        <v>0</v>
      </c>
      <c r="K150" s="101">
        <v>0</v>
      </c>
    </row>
    <row r="151" spans="1:11" ht="18" customHeight="1" x14ac:dyDescent="0.2">
      <c r="A151" s="520"/>
      <c r="B151" s="525"/>
      <c r="C151" s="520"/>
      <c r="D151" s="520"/>
      <c r="E151" s="520"/>
      <c r="F151" s="575"/>
      <c r="G151" s="575"/>
      <c r="H151" s="575"/>
      <c r="I151" s="575"/>
      <c r="J151" s="575"/>
      <c r="K151" s="575"/>
    </row>
    <row r="152" spans="1:11" ht="18" customHeight="1" x14ac:dyDescent="0.2">
      <c r="A152" s="546" t="s">
        <v>165</v>
      </c>
      <c r="B152" s="525" t="s">
        <v>26</v>
      </c>
      <c r="C152" s="520"/>
      <c r="D152" s="520"/>
      <c r="E152" s="520"/>
      <c r="F152" s="597">
        <v>22672.5</v>
      </c>
      <c r="G152" s="597">
        <v>51115</v>
      </c>
      <c r="H152" s="597">
        <v>1278340.1187499999</v>
      </c>
      <c r="I152" s="597">
        <v>599170.55937499995</v>
      </c>
      <c r="J152" s="597">
        <v>487250</v>
      </c>
      <c r="K152" s="597">
        <v>1476801.6781249996</v>
      </c>
    </row>
    <row r="154" spans="1:11" ht="18" customHeight="1" x14ac:dyDescent="0.2">
      <c r="A154" s="546" t="s">
        <v>168</v>
      </c>
      <c r="B154" s="525" t="s">
        <v>28</v>
      </c>
      <c r="C154" s="520"/>
      <c r="D154" s="520"/>
      <c r="E154" s="520"/>
      <c r="F154" s="140">
        <f>K152/F121</f>
        <v>2.5054114962782936E-2</v>
      </c>
      <c r="G154" s="520"/>
      <c r="H154" s="520"/>
      <c r="I154" s="520"/>
      <c r="J154" s="520"/>
      <c r="K154" s="520"/>
    </row>
    <row r="155" spans="1:11" ht="18" customHeight="1" x14ac:dyDescent="0.2">
      <c r="A155" s="546" t="s">
        <v>169</v>
      </c>
      <c r="B155" s="525" t="s">
        <v>72</v>
      </c>
      <c r="C155" s="520"/>
      <c r="D155" s="520"/>
      <c r="E155" s="520"/>
      <c r="F155" s="140">
        <f>K152/F127</f>
        <v>0.21777540758741748</v>
      </c>
      <c r="G155" s="525"/>
      <c r="H155" s="520"/>
      <c r="I155" s="520"/>
      <c r="J155" s="520"/>
      <c r="K155" s="520"/>
    </row>
    <row r="156" spans="1:11" ht="18" customHeight="1" x14ac:dyDescent="0.2">
      <c r="A156" s="520"/>
      <c r="B156" s="520"/>
      <c r="C156" s="520"/>
      <c r="D156" s="520"/>
      <c r="E156" s="520"/>
      <c r="F156" s="520"/>
      <c r="G156" s="525"/>
      <c r="H156" s="520"/>
      <c r="I156" s="520"/>
      <c r="J156" s="520"/>
      <c r="K156" s="520"/>
    </row>
  </sheetData>
  <sheetProtection algorithmName="SHA-512" hashValue="FUFXx979VQ4UmcYr/cgEIoUpa+s8sUElEtJxeSc/xOmhUURgdzXrbD+xCCdoG2Gb6whO2KwuID7BrA7bsMwuxg==" saltValue="10pIyQQlBLNdKgmGX6dkww==" spinCount="100000" sheet="1" objects="1" scenarios="1"/>
  <mergeCells count="34">
    <mergeCell ref="B134:D134"/>
    <mergeCell ref="B135:D135"/>
    <mergeCell ref="B90:C90"/>
    <mergeCell ref="B56:D56"/>
    <mergeCell ref="B133:D133"/>
    <mergeCell ref="B104:D104"/>
    <mergeCell ref="B105:D105"/>
    <mergeCell ref="B106:D106"/>
    <mergeCell ref="B62:D62"/>
    <mergeCell ref="B103:C103"/>
    <mergeCell ref="B96:D96"/>
    <mergeCell ref="B95:D95"/>
    <mergeCell ref="B94:D94"/>
    <mergeCell ref="B59:D59"/>
    <mergeCell ref="B57:D57"/>
    <mergeCell ref="B55:D55"/>
    <mergeCell ref="B52:C52"/>
    <mergeCell ref="B53:D53"/>
    <mergeCell ref="B30:D30"/>
    <mergeCell ref="B31:D31"/>
    <mergeCell ref="D2:H2"/>
    <mergeCell ref="B45:D45"/>
    <mergeCell ref="B46:D46"/>
    <mergeCell ref="B47:D47"/>
    <mergeCell ref="B34:D34"/>
    <mergeCell ref="C5:G5"/>
    <mergeCell ref="C6:G6"/>
    <mergeCell ref="C7:G7"/>
    <mergeCell ref="C9:G9"/>
    <mergeCell ref="C10:G10"/>
    <mergeCell ref="C11:G11"/>
    <mergeCell ref="B41:C41"/>
    <mergeCell ref="B44:D44"/>
    <mergeCell ref="B13:H13"/>
  </mergeCells>
  <hyperlinks>
    <hyperlink ref="C11"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249977111117893"/>
    <pageSetUpPr fitToPage="1"/>
  </sheetPr>
  <dimension ref="A1:AV65"/>
  <sheetViews>
    <sheetView tabSelected="1" zoomScale="80" zoomScaleNormal="80" workbookViewId="0">
      <pane xSplit="2" ySplit="2" topLeftCell="C3" activePane="bottomRight" state="frozen"/>
      <selection activeCell="K8" sqref="K8"/>
      <selection pane="topRight" activeCell="K8" sqref="K8"/>
      <selection pane="bottomLeft" activeCell="K8" sqref="K8"/>
      <selection pane="bottomRight" activeCell="A6" sqref="A6"/>
    </sheetView>
  </sheetViews>
  <sheetFormatPr defaultColWidth="9.28515625" defaultRowHeight="15" x14ac:dyDescent="0.25"/>
  <cols>
    <col min="1" max="1" width="18.5703125" style="2" customWidth="1"/>
    <col min="2" max="2" width="57.42578125" style="2" bestFit="1" customWidth="1"/>
    <col min="3" max="3" width="14" style="21" bestFit="1" customWidth="1"/>
    <col min="4" max="4" width="16.42578125" style="2" customWidth="1"/>
    <col min="5" max="5" width="21" style="15" customWidth="1"/>
    <col min="6" max="6" width="20.7109375" style="15" customWidth="1"/>
    <col min="7" max="7" width="15.28515625" style="6" customWidth="1"/>
    <col min="8" max="8" width="23.5703125" style="23" customWidth="1"/>
    <col min="9" max="9" width="30.5703125" style="9" customWidth="1"/>
    <col min="10" max="10" width="18.28515625" style="15" bestFit="1" customWidth="1"/>
    <col min="11" max="11" width="18.28515625" style="2" bestFit="1" customWidth="1"/>
    <col min="12" max="16384" width="9.28515625" style="2"/>
  </cols>
  <sheetData>
    <row r="1" spans="1:11" x14ac:dyDescent="0.25">
      <c r="A1" s="358" t="s">
        <v>860</v>
      </c>
      <c r="B1" s="358"/>
      <c r="C1" s="358"/>
    </row>
    <row r="2" spans="1:11" s="7" customFormat="1" ht="75" x14ac:dyDescent="0.25">
      <c r="A2" s="314" t="s">
        <v>196</v>
      </c>
      <c r="B2" s="314" t="s">
        <v>197</v>
      </c>
      <c r="C2" s="314" t="s">
        <v>605</v>
      </c>
      <c r="D2" s="314" t="s">
        <v>606</v>
      </c>
      <c r="E2" s="315" t="s">
        <v>221</v>
      </c>
      <c r="F2" s="315" t="s">
        <v>607</v>
      </c>
      <c r="G2" s="316" t="s">
        <v>222</v>
      </c>
      <c r="H2" s="314" t="s">
        <v>599</v>
      </c>
      <c r="I2" s="317" t="s">
        <v>608</v>
      </c>
      <c r="J2" s="316" t="s">
        <v>223</v>
      </c>
      <c r="K2" s="315" t="s">
        <v>224</v>
      </c>
    </row>
    <row r="3" spans="1:11" ht="15.75" x14ac:dyDescent="0.25">
      <c r="A3" s="281">
        <v>210001</v>
      </c>
      <c r="B3" s="281" t="s">
        <v>194</v>
      </c>
      <c r="C3" s="318">
        <f>'#1-Meritus'!$C$7</f>
        <v>2707</v>
      </c>
      <c r="D3" s="318">
        <f>'#1-Meritus'!$F$108</f>
        <v>312</v>
      </c>
      <c r="E3" s="319">
        <f>'#1-Meritus'!$F$121</f>
        <v>314735209</v>
      </c>
      <c r="F3" s="320">
        <f>'#1-Meritus'!$K$152</f>
        <v>23564918.392499998</v>
      </c>
      <c r="G3" s="321">
        <f t="shared" ref="G3:G34" si="0">F3/E3</f>
        <v>7.487220278713716E-2</v>
      </c>
      <c r="H3" s="322">
        <f>'Rate Support-Attachment I'!F3</f>
        <v>5057885.4878773093</v>
      </c>
      <c r="I3" s="323">
        <f t="shared" ref="I3:I34" si="1">F3-H3</f>
        <v>18507032.904622689</v>
      </c>
      <c r="J3" s="324">
        <f t="shared" ref="J3:J34" si="2">I3/E3</f>
        <v>5.8801914674321325E-2</v>
      </c>
      <c r="K3" s="319">
        <f>'#1-Meritus'!$F$111</f>
        <v>4718533.1500000004</v>
      </c>
    </row>
    <row r="4" spans="1:11" ht="15.75" x14ac:dyDescent="0.25">
      <c r="A4" s="287" t="s">
        <v>817</v>
      </c>
      <c r="B4" s="281" t="s">
        <v>818</v>
      </c>
      <c r="C4" s="318">
        <f>'#2-UMMC'!$C$7</f>
        <v>8899</v>
      </c>
      <c r="D4" s="318">
        <f>'#2-UMMC'!$F$108</f>
        <v>3918.8</v>
      </c>
      <c r="E4" s="319">
        <f>'#2-UMMC'!$F$121</f>
        <v>1522227000</v>
      </c>
      <c r="F4" s="320">
        <f>'#2-UMMC'!$K$152</f>
        <v>212918463.25815326</v>
      </c>
      <c r="G4" s="321">
        <f t="shared" si="0"/>
        <v>0.13987300399884725</v>
      </c>
      <c r="H4" s="322">
        <f>'Rate Support-Attachment I'!F4</f>
        <v>135234465.34468102</v>
      </c>
      <c r="I4" s="323">
        <f t="shared" si="1"/>
        <v>77683997.913472235</v>
      </c>
      <c r="J4" s="324">
        <f t="shared" si="2"/>
        <v>5.1033123123865383E-2</v>
      </c>
      <c r="K4" s="319">
        <f>'#2-UMMC'!$F$111</f>
        <v>22057000</v>
      </c>
    </row>
    <row r="5" spans="1:11" ht="15.75" x14ac:dyDescent="0.25">
      <c r="A5" s="287" t="s">
        <v>819</v>
      </c>
      <c r="B5" s="281" t="s">
        <v>854</v>
      </c>
      <c r="C5" s="318">
        <f>'#3-Prince Georges Hospital'!$C$7</f>
        <v>2603</v>
      </c>
      <c r="D5" s="318">
        <f>'#3-Prince Georges Hospital'!$F$108</f>
        <v>4160</v>
      </c>
      <c r="E5" s="319">
        <f>'#3-Prince Georges Hospital'!$F$121</f>
        <v>285839000</v>
      </c>
      <c r="F5" s="320">
        <f>'#3-Prince Georges Hospital'!$K$152</f>
        <v>78564065.89819257</v>
      </c>
      <c r="G5" s="321">
        <f t="shared" si="0"/>
        <v>0.27485425676059799</v>
      </c>
      <c r="H5" s="322">
        <f>'Rate Support-Attachment I'!F5</f>
        <v>18494489.113559999</v>
      </c>
      <c r="I5" s="323">
        <f t="shared" si="1"/>
        <v>60069576.784632571</v>
      </c>
      <c r="J5" s="324">
        <f t="shared" si="2"/>
        <v>0.21015178749097418</v>
      </c>
      <c r="K5" s="319">
        <f>'#3-Prince Georges Hospital'!$F$111</f>
        <v>12147000</v>
      </c>
    </row>
    <row r="6" spans="1:11" ht="15.75" x14ac:dyDescent="0.25">
      <c r="A6" s="281">
        <v>210004</v>
      </c>
      <c r="B6" s="281" t="s">
        <v>528</v>
      </c>
      <c r="C6" s="318">
        <f>'#4-Holy Cross Hospital'!$C$7</f>
        <v>3461</v>
      </c>
      <c r="D6" s="318">
        <f>'#4-Holy Cross Hospital'!$F$108</f>
        <v>4696</v>
      </c>
      <c r="E6" s="319">
        <f>'#4-Holy Cross Hospital'!$F$121</f>
        <v>413981550</v>
      </c>
      <c r="F6" s="320">
        <f>'#4-Holy Cross Hospital'!$K$152</f>
        <v>51218319.490000002</v>
      </c>
      <c r="G6" s="321">
        <f t="shared" si="0"/>
        <v>0.12372126122528891</v>
      </c>
      <c r="H6" s="322">
        <f>'Rate Support-Attachment I'!F6</f>
        <v>32650120.593403298</v>
      </c>
      <c r="I6" s="323">
        <f t="shared" si="1"/>
        <v>18568198.896596704</v>
      </c>
      <c r="J6" s="324">
        <f t="shared" si="2"/>
        <v>4.4852720843710794E-2</v>
      </c>
      <c r="K6" s="319">
        <f>'#4-Holy Cross Hospital'!$F$111</f>
        <v>31485836</v>
      </c>
    </row>
    <row r="7" spans="1:11" ht="15.75" x14ac:dyDescent="0.25">
      <c r="A7" s="281">
        <v>210005</v>
      </c>
      <c r="B7" s="281" t="s">
        <v>820</v>
      </c>
      <c r="C7" s="318" t="str">
        <f>'#5-Frederick Memorial Hospital'!$C$7</f>
        <v>1964</v>
      </c>
      <c r="D7" s="318">
        <f>'#5-Frederick Memorial Hospital'!$F$108</f>
        <v>134</v>
      </c>
      <c r="E7" s="319">
        <f>'#5-Frederick Memorial Hospital'!$F$121</f>
        <v>340036000</v>
      </c>
      <c r="F7" s="320">
        <f>'#5-Frederick Memorial Hospital'!$K$152</f>
        <v>30721235.224399995</v>
      </c>
      <c r="G7" s="321">
        <f t="shared" si="0"/>
        <v>9.034700803561975E-2</v>
      </c>
      <c r="H7" s="322">
        <f>'Rate Support-Attachment I'!F7</f>
        <v>6678838.1263199998</v>
      </c>
      <c r="I7" s="323">
        <f t="shared" si="1"/>
        <v>24042397.098079994</v>
      </c>
      <c r="J7" s="324">
        <f t="shared" si="2"/>
        <v>7.0705446182404194E-2</v>
      </c>
      <c r="K7" s="319">
        <f>'#5-Frederick Memorial Hospital'!$F$111</f>
        <v>6785000</v>
      </c>
    </row>
    <row r="8" spans="1:11" ht="15.75" x14ac:dyDescent="0.25">
      <c r="A8" s="281">
        <v>210006</v>
      </c>
      <c r="B8" s="281" t="s">
        <v>821</v>
      </c>
      <c r="C8" s="318">
        <f>'#6-UM Harford Memorial'!$C$7</f>
        <v>994</v>
      </c>
      <c r="D8" s="318">
        <f>'#6-UM Harford Memorial'!$F$108</f>
        <v>936</v>
      </c>
      <c r="E8" s="319">
        <f>'#6-UM Harford Memorial'!$F$121</f>
        <v>87719000</v>
      </c>
      <c r="F8" s="320">
        <f>'#6-UM Harford Memorial'!$K$152</f>
        <v>7721886.0071907584</v>
      </c>
      <c r="G8" s="321">
        <f t="shared" si="0"/>
        <v>8.8029799783293908E-2</v>
      </c>
      <c r="H8" s="322">
        <f>'Rate Support-Attachment I'!F8</f>
        <v>1580226.000647703</v>
      </c>
      <c r="I8" s="323">
        <f t="shared" si="1"/>
        <v>6141660.0065430552</v>
      </c>
      <c r="J8" s="324">
        <f t="shared" si="2"/>
        <v>7.0015162126142061E-2</v>
      </c>
      <c r="K8" s="319">
        <f>'#6-UM Harford Memorial'!$F$111</f>
        <v>1903000</v>
      </c>
    </row>
    <row r="9" spans="1:11" ht="15.75" x14ac:dyDescent="0.25">
      <c r="A9" s="281">
        <v>210008</v>
      </c>
      <c r="B9" s="281" t="s">
        <v>822</v>
      </c>
      <c r="C9" s="318">
        <f>'#8-Mercy'!$C$7</f>
        <v>3551</v>
      </c>
      <c r="D9" s="318">
        <f>'#8-Mercy'!$F$108</f>
        <v>2489</v>
      </c>
      <c r="E9" s="319">
        <f>'#8-Mercy'!$F$121</f>
        <v>483817200</v>
      </c>
      <c r="F9" s="320">
        <f>'#8-Mercy'!$K$152</f>
        <v>57442771.878592819</v>
      </c>
      <c r="G9" s="321">
        <f t="shared" si="0"/>
        <v>0.118728254966117</v>
      </c>
      <c r="H9" s="322">
        <f>'Rate Support-Attachment I'!F9</f>
        <v>21105896.829810999</v>
      </c>
      <c r="I9" s="323">
        <f t="shared" si="1"/>
        <v>36336875.04878182</v>
      </c>
      <c r="J9" s="324">
        <f t="shared" si="2"/>
        <v>7.5104554052195377E-2</v>
      </c>
      <c r="K9" s="319">
        <f>'#8-Mercy'!$F$111</f>
        <v>14621887</v>
      </c>
    </row>
    <row r="10" spans="1:11" ht="15.75" x14ac:dyDescent="0.25">
      <c r="A10" s="281">
        <v>210009</v>
      </c>
      <c r="B10" s="281" t="s">
        <v>529</v>
      </c>
      <c r="C10" s="318">
        <f>'#9-Johns Hopkins'!$C$7</f>
        <v>0</v>
      </c>
      <c r="D10" s="318">
        <f>'#9-Johns Hopkins'!$F$108</f>
        <v>7078.5</v>
      </c>
      <c r="E10" s="319">
        <f>'#9-Johns Hopkins'!$F$121</f>
        <v>2396322000</v>
      </c>
      <c r="F10" s="320">
        <f>'#9-Johns Hopkins'!$K$152</f>
        <v>272875356.60148132</v>
      </c>
      <c r="G10" s="321">
        <f t="shared" si="0"/>
        <v>0.11387257497176144</v>
      </c>
      <c r="H10" s="322">
        <f>'Rate Support-Attachment I'!F10</f>
        <v>147081575.14457175</v>
      </c>
      <c r="I10" s="323">
        <f t="shared" si="1"/>
        <v>125793781.45690957</v>
      </c>
      <c r="J10" s="324">
        <f t="shared" si="2"/>
        <v>5.2494523464254622E-2</v>
      </c>
      <c r="K10" s="319">
        <f>'#9-Johns Hopkins'!$F$111</f>
        <v>26475000</v>
      </c>
    </row>
    <row r="11" spans="1:11" ht="15.75" x14ac:dyDescent="0.25">
      <c r="A11" s="281">
        <v>210010</v>
      </c>
      <c r="B11" s="281" t="s">
        <v>823</v>
      </c>
      <c r="C11" s="318">
        <f>'#10-UM Shore Health Dorchester'!$C$7</f>
        <v>283.60465625000001</v>
      </c>
      <c r="D11" s="318">
        <f>'#10-UM Shore Health Dorchester'!$F$108</f>
        <v>1460</v>
      </c>
      <c r="E11" s="319">
        <f>'#10-UM Shore Health Dorchester'!$F$121</f>
        <v>40094942.799999997</v>
      </c>
      <c r="F11" s="320">
        <f>'#10-UM Shore Health Dorchester'!$K$152</f>
        <v>10346218.623782719</v>
      </c>
      <c r="G11" s="321">
        <f t="shared" si="0"/>
        <v>0.25804298251256563</v>
      </c>
      <c r="H11" s="322">
        <f>'Rate Support-Attachment I'!F11</f>
        <v>687909.09286358033</v>
      </c>
      <c r="I11" s="323">
        <f t="shared" si="1"/>
        <v>9658309.5309191383</v>
      </c>
      <c r="J11" s="324">
        <f t="shared" si="2"/>
        <v>0.24088597854089316</v>
      </c>
      <c r="K11" s="319">
        <f>'#10-UM Shore Health Dorchester'!$F$111</f>
        <v>704387</v>
      </c>
    </row>
    <row r="12" spans="1:11" ht="15.75" x14ac:dyDescent="0.25">
      <c r="A12" s="281">
        <v>210011</v>
      </c>
      <c r="B12" s="281" t="s">
        <v>824</v>
      </c>
      <c r="C12" s="318">
        <f>'#11-St. Agnes Hospital'!$C$7</f>
        <v>0</v>
      </c>
      <c r="D12" s="318">
        <f>'#11-St. Agnes Hospital'!$F$108</f>
        <v>0</v>
      </c>
      <c r="E12" s="319">
        <f>'#11-St. Agnes Hospital'!$F$121</f>
        <v>452096000</v>
      </c>
      <c r="F12" s="320">
        <f>'#11-St. Agnes Hospital'!$K$152</f>
        <v>51743112.613073297</v>
      </c>
      <c r="G12" s="321">
        <f t="shared" si="0"/>
        <v>0.11445160455538933</v>
      </c>
      <c r="H12" s="322">
        <f>'Rate Support-Attachment I'!F12</f>
        <v>31677797.162167415</v>
      </c>
      <c r="I12" s="323">
        <f t="shared" si="1"/>
        <v>20065315.450905882</v>
      </c>
      <c r="J12" s="324">
        <f t="shared" si="2"/>
        <v>4.4382864371518178E-2</v>
      </c>
      <c r="K12" s="319">
        <f>'#11-St. Agnes Hospital'!$F$111</f>
        <v>23954876</v>
      </c>
    </row>
    <row r="13" spans="1:11" ht="15.75" x14ac:dyDescent="0.25">
      <c r="A13" s="281">
        <v>210012</v>
      </c>
      <c r="B13" s="281" t="s">
        <v>825</v>
      </c>
      <c r="C13" s="318">
        <f>'#12-Sinai'!$C$7</f>
        <v>4992</v>
      </c>
      <c r="D13" s="318">
        <f>'#12-Sinai'!$F$108</f>
        <v>2295</v>
      </c>
      <c r="E13" s="319">
        <f>'#12-Sinai'!$F$121</f>
        <v>752831000</v>
      </c>
      <c r="F13" s="320">
        <f>'#12-Sinai'!$K$152</f>
        <v>58913086.450599998</v>
      </c>
      <c r="G13" s="321">
        <f t="shared" si="0"/>
        <v>7.8255393907264714E-2</v>
      </c>
      <c r="H13" s="322">
        <f>'Rate Support-Attachment I'!F13</f>
        <v>22701641.312974714</v>
      </c>
      <c r="I13" s="323">
        <f t="shared" si="1"/>
        <v>36211445.137625284</v>
      </c>
      <c r="J13" s="324">
        <f t="shared" si="2"/>
        <v>4.8100364009485905E-2</v>
      </c>
      <c r="K13" s="319">
        <f>'#12-Sinai'!$F$111</f>
        <v>6360600</v>
      </c>
    </row>
    <row r="14" spans="1:11" ht="15.75" x14ac:dyDescent="0.25">
      <c r="A14" s="281">
        <v>210013</v>
      </c>
      <c r="B14" s="281" t="s">
        <v>826</v>
      </c>
      <c r="C14" s="318">
        <f>'#13-Bon Secours'!$C$7</f>
        <v>589</v>
      </c>
      <c r="D14" s="318">
        <f>'#13-Bon Secours'!$F$108</f>
        <v>17917</v>
      </c>
      <c r="E14" s="319">
        <f>'#13-Bon Secours'!$F$121</f>
        <v>109675296</v>
      </c>
      <c r="F14" s="320">
        <f>'#13-Bon Secours'!$K$152</f>
        <v>24668421.561200004</v>
      </c>
      <c r="G14" s="321">
        <f t="shared" si="0"/>
        <v>0.22492231578932784</v>
      </c>
      <c r="H14" s="322">
        <f>'Rate Support-Attachment I'!F14</f>
        <v>730964.27131700213</v>
      </c>
      <c r="I14" s="323">
        <f t="shared" si="1"/>
        <v>23937457.289883003</v>
      </c>
      <c r="J14" s="324">
        <f t="shared" si="2"/>
        <v>0.21825751252025802</v>
      </c>
      <c r="K14" s="319">
        <f>'#13-Bon Secours'!$F$111</f>
        <v>488596</v>
      </c>
    </row>
    <row r="15" spans="1:11" ht="15.75" x14ac:dyDescent="0.25">
      <c r="A15" s="281">
        <v>210015</v>
      </c>
      <c r="B15" s="281" t="s">
        <v>827</v>
      </c>
      <c r="C15" s="318">
        <f>'#15-MedStar Franklin Square'!$C$7</f>
        <v>3013</v>
      </c>
      <c r="D15" s="318">
        <f>'#15-MedStar Franklin Square'!$F$108</f>
        <v>2616</v>
      </c>
      <c r="E15" s="319">
        <f>'#15-MedStar Franklin Square'!$F$121</f>
        <v>518888097</v>
      </c>
      <c r="F15" s="320">
        <f>'#15-MedStar Franklin Square'!$K$152</f>
        <v>41489808.371260896</v>
      </c>
      <c r="G15" s="321">
        <f t="shared" si="0"/>
        <v>7.9959067496707087E-2</v>
      </c>
      <c r="H15" s="322">
        <f>'Rate Support-Attachment I'!F15</f>
        <v>17669649.205688998</v>
      </c>
      <c r="I15" s="323">
        <f t="shared" si="1"/>
        <v>23820159.165571898</v>
      </c>
      <c r="J15" s="324">
        <f t="shared" si="2"/>
        <v>4.590615838615373E-2</v>
      </c>
      <c r="K15" s="319">
        <f>'#15-MedStar Franklin Square'!$F$111</f>
        <v>7344175</v>
      </c>
    </row>
    <row r="16" spans="1:11" ht="15.75" x14ac:dyDescent="0.25">
      <c r="A16" s="281">
        <v>210016</v>
      </c>
      <c r="B16" s="281" t="s">
        <v>828</v>
      </c>
      <c r="C16" s="318">
        <f>'#16-Washington Adventist'!$C$7</f>
        <v>1342</v>
      </c>
      <c r="D16" s="318">
        <f>'#16-Washington Adventist'!$F$108</f>
        <v>5914.396682999999</v>
      </c>
      <c r="E16" s="319">
        <f>'#16-Washington Adventist'!$F$121</f>
        <v>243708768</v>
      </c>
      <c r="F16" s="320">
        <f>'#16-Washington Adventist'!$K$152</f>
        <v>35087711.575465277</v>
      </c>
      <c r="G16" s="321">
        <f t="shared" si="0"/>
        <v>0.143973940139344</v>
      </c>
      <c r="H16" s="322">
        <f>'Rate Support-Attachment I'!F16</f>
        <v>7634930.0868799994</v>
      </c>
      <c r="I16" s="323">
        <f t="shared" si="1"/>
        <v>27452781.488585278</v>
      </c>
      <c r="J16" s="324">
        <f t="shared" si="2"/>
        <v>0.11264585067610403</v>
      </c>
      <c r="K16" s="319">
        <f>'#16-Washington Adventist'!$F$111</f>
        <v>6640536.8860000018</v>
      </c>
    </row>
    <row r="17" spans="1:11" ht="15.75" x14ac:dyDescent="0.25">
      <c r="A17" s="281">
        <v>210017</v>
      </c>
      <c r="B17" s="281" t="s">
        <v>829</v>
      </c>
      <c r="C17" s="318">
        <f>'#17-Garrett County Memorial'!$C$7</f>
        <v>439</v>
      </c>
      <c r="D17" s="318">
        <f>'#17-Garrett County Memorial'!$F$108</f>
        <v>10</v>
      </c>
      <c r="E17" s="319">
        <f>'#17-Garrett County Memorial'!$F$121</f>
        <v>51150258</v>
      </c>
      <c r="F17" s="320">
        <f>'#17-Garrett County Memorial'!$K$152</f>
        <v>3169409.0126999998</v>
      </c>
      <c r="G17" s="321">
        <f t="shared" si="0"/>
        <v>6.196271801209683E-2</v>
      </c>
      <c r="H17" s="322">
        <f>'Rate Support-Attachment I'!F17</f>
        <v>2505577.7852615174</v>
      </c>
      <c r="I17" s="323">
        <f t="shared" si="1"/>
        <v>663831.22743848246</v>
      </c>
      <c r="J17" s="324">
        <f t="shared" si="2"/>
        <v>1.2978062152462309E-2</v>
      </c>
      <c r="K17" s="319">
        <f>'#17-Garrett County Memorial'!$F$111</f>
        <v>2550792</v>
      </c>
    </row>
    <row r="18" spans="1:11" ht="15.75" x14ac:dyDescent="0.25">
      <c r="A18" s="281">
        <v>210018</v>
      </c>
      <c r="B18" s="281" t="s">
        <v>830</v>
      </c>
      <c r="C18" s="318">
        <f>'#18-MedStar Montgomery General'!$C$7</f>
        <v>1721</v>
      </c>
      <c r="D18" s="318">
        <f>'#18-MedStar Montgomery General'!$F$108</f>
        <v>60</v>
      </c>
      <c r="E18" s="319">
        <f>'#18-MedStar Montgomery General'!$F$121</f>
        <v>165450371</v>
      </c>
      <c r="F18" s="320">
        <f>'#18-MedStar Montgomery General'!$K$152</f>
        <v>6332705.271995252</v>
      </c>
      <c r="G18" s="321">
        <f t="shared" si="0"/>
        <v>3.8275558004008656E-2</v>
      </c>
      <c r="H18" s="322">
        <f>'Rate Support-Attachment I'!F18</f>
        <v>2583041.2172530144</v>
      </c>
      <c r="I18" s="323">
        <f t="shared" si="1"/>
        <v>3749664.0547422376</v>
      </c>
      <c r="J18" s="324">
        <f t="shared" si="2"/>
        <v>2.2663376528434847E-2</v>
      </c>
      <c r="K18" s="319">
        <f>'#18-MedStar Montgomery General'!$F$111</f>
        <v>1847698</v>
      </c>
    </row>
    <row r="19" spans="1:11" ht="15.75" x14ac:dyDescent="0.25">
      <c r="A19" s="281">
        <v>210019</v>
      </c>
      <c r="B19" s="281" t="s">
        <v>450</v>
      </c>
      <c r="C19" s="318">
        <f>'#19-Peninsula Regional'!$C$7</f>
        <v>2794</v>
      </c>
      <c r="D19" s="318">
        <f>'#19-Peninsula Regional'!$F$108</f>
        <v>349</v>
      </c>
      <c r="E19" s="319">
        <f>'#19-Peninsula Regional'!$F$121</f>
        <v>427360744</v>
      </c>
      <c r="F19" s="320">
        <f>'#19-Peninsula Regional'!$K$152</f>
        <v>50423374.680249989</v>
      </c>
      <c r="G19" s="321">
        <f t="shared" si="0"/>
        <v>0.11798784841185597</v>
      </c>
      <c r="H19" s="322">
        <f>'Rate Support-Attachment I'!F19</f>
        <v>8615990.8021021187</v>
      </c>
      <c r="I19" s="323">
        <f t="shared" si="1"/>
        <v>41807383.87814787</v>
      </c>
      <c r="J19" s="324">
        <f t="shared" si="2"/>
        <v>9.7826916639184511E-2</v>
      </c>
      <c r="K19" s="319">
        <f>'#19-Peninsula Regional'!$F$111</f>
        <v>7604900</v>
      </c>
    </row>
    <row r="20" spans="1:11" s="90" customFormat="1" ht="15.75" x14ac:dyDescent="0.25">
      <c r="A20" s="281">
        <v>210022</v>
      </c>
      <c r="B20" s="281" t="s">
        <v>831</v>
      </c>
      <c r="C20" s="325">
        <f>'#22-Suburban'!$C$7</f>
        <v>1786</v>
      </c>
      <c r="D20" s="325">
        <f>'#22-Suburban'!$F$108</f>
        <v>0</v>
      </c>
      <c r="E20" s="326">
        <f>'#22-Suburban'!$F$121</f>
        <v>295311000</v>
      </c>
      <c r="F20" s="327">
        <f>'#22-Suburban'!$K$152</f>
        <v>25543203.931000002</v>
      </c>
      <c r="G20" s="328">
        <f t="shared" si="0"/>
        <v>8.6495944719295934E-2</v>
      </c>
      <c r="H20" s="322">
        <f>'Rate Support-Attachment I'!F20</f>
        <v>4572896.3503600908</v>
      </c>
      <c r="I20" s="323">
        <f t="shared" si="1"/>
        <v>20970307.58063991</v>
      </c>
      <c r="J20" s="324">
        <f t="shared" si="2"/>
        <v>7.1010926042849434E-2</v>
      </c>
      <c r="K20" s="326">
        <f>'#22-Suburban'!$F$111</f>
        <v>4386000</v>
      </c>
    </row>
    <row r="21" spans="1:11" s="90" customFormat="1" ht="15.75" x14ac:dyDescent="0.25">
      <c r="A21" s="281">
        <v>210023</v>
      </c>
      <c r="B21" s="281" t="s">
        <v>832</v>
      </c>
      <c r="C21" s="325">
        <f>'#23-AAMC'!$C$7</f>
        <v>4746</v>
      </c>
      <c r="D21" s="325">
        <f>'#23-AAMC'!$F$108</f>
        <v>3277</v>
      </c>
      <c r="E21" s="326">
        <f>'#23-AAMC'!$F$121</f>
        <v>558534000</v>
      </c>
      <c r="F21" s="327">
        <f>'#23-AAMC'!$K$152</f>
        <v>50281739.673200004</v>
      </c>
      <c r="G21" s="328">
        <f t="shared" si="0"/>
        <v>9.0024492104688353E-2</v>
      </c>
      <c r="H21" s="322">
        <f>'Rate Support-Attachment I'!F21</f>
        <v>5241716.4691630006</v>
      </c>
      <c r="I21" s="323">
        <f t="shared" si="1"/>
        <v>45040023.204037003</v>
      </c>
      <c r="J21" s="324">
        <f t="shared" si="2"/>
        <v>8.0639716121197635E-2</v>
      </c>
      <c r="K21" s="326">
        <f>'#23-AAMC'!$F$111</f>
        <v>3923800</v>
      </c>
    </row>
    <row r="22" spans="1:11" ht="15.75" x14ac:dyDescent="0.25">
      <c r="A22" s="281">
        <v>210024</v>
      </c>
      <c r="B22" s="281" t="s">
        <v>452</v>
      </c>
      <c r="C22" s="318">
        <f>'#24-MedStar Union Memorial'!$C$7</f>
        <v>2263</v>
      </c>
      <c r="D22" s="318">
        <f>'#24-MedStar Union Memorial'!$F$108</f>
        <v>664</v>
      </c>
      <c r="E22" s="319">
        <f>'#24-MedStar Union Memorial'!$F$121</f>
        <v>449182066.26899934</v>
      </c>
      <c r="F22" s="320">
        <f>'#24-MedStar Union Memorial'!$K$152</f>
        <v>37410521.143646166</v>
      </c>
      <c r="G22" s="321">
        <f t="shared" si="0"/>
        <v>8.3285874376922073E-2</v>
      </c>
      <c r="H22" s="322">
        <f>'Rate Support-Attachment I'!F22</f>
        <v>21397236.817412138</v>
      </c>
      <c r="I22" s="323">
        <f t="shared" si="1"/>
        <v>16013284.326234028</v>
      </c>
      <c r="J22" s="324">
        <f t="shared" si="2"/>
        <v>3.5649874580353874E-2</v>
      </c>
      <c r="K22" s="319">
        <f>'#24-MedStar Union Memorial'!$F$111</f>
        <v>6610504</v>
      </c>
    </row>
    <row r="23" spans="1:11" ht="15.75" x14ac:dyDescent="0.25">
      <c r="A23" s="281">
        <v>210027</v>
      </c>
      <c r="B23" s="281" t="s">
        <v>833</v>
      </c>
      <c r="C23" s="318">
        <f>'#27-Western Maryland Regional'!$C$7</f>
        <v>1979</v>
      </c>
      <c r="D23" s="318">
        <f>'#27-Western Maryland Regional'!$F$108</f>
        <v>252</v>
      </c>
      <c r="E23" s="319">
        <f>'#27-Western Maryland Regional'!$F$121</f>
        <v>323338357</v>
      </c>
      <c r="F23" s="320">
        <f>'#27-Western Maryland Regional'!$K$152</f>
        <v>53781548.739999995</v>
      </c>
      <c r="G23" s="321">
        <f t="shared" si="0"/>
        <v>0.16633210250400324</v>
      </c>
      <c r="H23" s="322">
        <f>'Rate Support-Attachment I'!F23</f>
        <v>9768649.7315400001</v>
      </c>
      <c r="I23" s="323">
        <f t="shared" si="1"/>
        <v>44012899.008459993</v>
      </c>
      <c r="J23" s="324">
        <f t="shared" si="2"/>
        <v>0.13612025315159251</v>
      </c>
      <c r="K23" s="319">
        <f>'#27-Western Maryland Regional'!$F$111</f>
        <v>10489666</v>
      </c>
    </row>
    <row r="24" spans="1:11" ht="15.75" x14ac:dyDescent="0.25">
      <c r="A24" s="281">
        <v>210028</v>
      </c>
      <c r="B24" s="281" t="s">
        <v>834</v>
      </c>
      <c r="C24" s="318">
        <f>'#28-MedStar St. Marys'!$C$7</f>
        <v>1200</v>
      </c>
      <c r="D24" s="318">
        <f>'#28-MedStar St. Marys'!$F$108</f>
        <v>5000</v>
      </c>
      <c r="E24" s="319">
        <f>'#28-MedStar St. Marys'!$F$121</f>
        <v>162218677</v>
      </c>
      <c r="F24" s="320">
        <f>'#28-MedStar St. Marys'!$K$152</f>
        <v>17492295.520776942</v>
      </c>
      <c r="G24" s="321">
        <f t="shared" si="0"/>
        <v>0.1078315755267622</v>
      </c>
      <c r="H24" s="322">
        <f>'Rate Support-Attachment I'!F24</f>
        <v>4513377.5622199997</v>
      </c>
      <c r="I24" s="323">
        <f t="shared" si="1"/>
        <v>12978917.958556943</v>
      </c>
      <c r="J24" s="324">
        <f t="shared" si="2"/>
        <v>8.0008777032233733E-2</v>
      </c>
      <c r="K24" s="319">
        <f>'#28-MedStar St. Marys'!$F$111</f>
        <v>3983754</v>
      </c>
    </row>
    <row r="25" spans="1:11" s="90" customFormat="1" ht="15.75" x14ac:dyDescent="0.25">
      <c r="A25" s="281">
        <v>210029</v>
      </c>
      <c r="B25" s="281" t="s">
        <v>835</v>
      </c>
      <c r="C25" s="325">
        <f>'#29-JH Bayview'!$C$7</f>
        <v>3446</v>
      </c>
      <c r="D25" s="325">
        <f>'#29-JH Bayview'!$F$108</f>
        <v>3421</v>
      </c>
      <c r="E25" s="326">
        <f>'#29-JH Bayview'!$F$121</f>
        <v>632548000</v>
      </c>
      <c r="F25" s="327">
        <f>'#29-JH Bayview'!$K$152</f>
        <v>83958769</v>
      </c>
      <c r="G25" s="328">
        <f t="shared" si="0"/>
        <v>0.13273106388764172</v>
      </c>
      <c r="H25" s="322">
        <f>'Rate Support-Attachment I'!F25</f>
        <v>41100679.414118767</v>
      </c>
      <c r="I25" s="323">
        <f t="shared" si="1"/>
        <v>42858089.585881233</v>
      </c>
      <c r="J25" s="324">
        <f t="shared" si="2"/>
        <v>6.7754683574813665E-2</v>
      </c>
      <c r="K25" s="326">
        <f>'#29-JH Bayview'!$F$111</f>
        <v>18957000</v>
      </c>
    </row>
    <row r="26" spans="1:11" ht="15.75" x14ac:dyDescent="0.25">
      <c r="A26" s="281">
        <v>210030</v>
      </c>
      <c r="B26" s="281" t="s">
        <v>836</v>
      </c>
      <c r="C26" s="318">
        <f>'#30-UM Shore Health Chestertown'!$C$7</f>
        <v>241.06880959172497</v>
      </c>
      <c r="D26" s="318">
        <f>'#30-UM Shore Health Chestertown'!$F$108</f>
        <v>1260</v>
      </c>
      <c r="E26" s="319">
        <f>'#30-UM Shore Health Chestertown'!$F$121</f>
        <v>46259300</v>
      </c>
      <c r="F26" s="320">
        <f>'#30-UM Shore Health Chestertown'!$K$152</f>
        <v>12388833.331839522</v>
      </c>
      <c r="G26" s="321">
        <f t="shared" si="0"/>
        <v>0.26781281454409217</v>
      </c>
      <c r="H26" s="322">
        <f>'Rate Support-Attachment I'!F26</f>
        <v>472538.81081842969</v>
      </c>
      <c r="I26" s="323">
        <f t="shared" si="1"/>
        <v>11916294.521021092</v>
      </c>
      <c r="J26" s="324">
        <f t="shared" si="2"/>
        <v>0.25759781321855479</v>
      </c>
      <c r="K26" s="319">
        <f>'#30-UM Shore Health Chestertown'!$F$111</f>
        <v>475000</v>
      </c>
    </row>
    <row r="27" spans="1:11" ht="15.75" x14ac:dyDescent="0.25">
      <c r="A27" s="281">
        <v>210032</v>
      </c>
      <c r="B27" s="281" t="s">
        <v>230</v>
      </c>
      <c r="C27" s="318">
        <f>'#32-Union Hospital Cecil Co'!$C$7</f>
        <v>1372</v>
      </c>
      <c r="D27" s="318">
        <f>'#32-Union Hospital Cecil Co'!$F$108</f>
        <v>2140</v>
      </c>
      <c r="E27" s="319">
        <f>'#32-Union Hospital Cecil Co'!$F$121</f>
        <v>164054488</v>
      </c>
      <c r="F27" s="320">
        <f>'#32-Union Hospital Cecil Co'!$K$152</f>
        <v>8693334</v>
      </c>
      <c r="G27" s="321">
        <f t="shared" si="0"/>
        <v>5.29905283664047E-2</v>
      </c>
      <c r="H27" s="322">
        <f>'Rate Support-Attachment I'!F27</f>
        <v>1658142.7798279999</v>
      </c>
      <c r="I27" s="323">
        <f t="shared" si="1"/>
        <v>7035191.2201720001</v>
      </c>
      <c r="J27" s="324">
        <f t="shared" si="2"/>
        <v>4.2883259738508345E-2</v>
      </c>
      <c r="K27" s="319">
        <f>'#32-Union Hospital Cecil Co'!$F$111</f>
        <v>1822394</v>
      </c>
    </row>
    <row r="28" spans="1:11" ht="15.75" x14ac:dyDescent="0.25">
      <c r="A28" s="281">
        <v>210033</v>
      </c>
      <c r="B28" s="281" t="s">
        <v>837</v>
      </c>
      <c r="C28" s="318">
        <f>'#33-Carroll Hospital Center'!$C$7</f>
        <v>1793</v>
      </c>
      <c r="D28" s="318">
        <f>'#33-Carroll Hospital Center'!$F$108</f>
        <v>2080</v>
      </c>
      <c r="E28" s="319">
        <f>'#33-Carroll Hospital Center'!$F$121</f>
        <v>195292000</v>
      </c>
      <c r="F28" s="320">
        <f>'#33-Carroll Hospital Center'!$K$152</f>
        <v>15781944</v>
      </c>
      <c r="G28" s="321">
        <f t="shared" si="0"/>
        <v>8.0812035311226271E-2</v>
      </c>
      <c r="H28" s="322">
        <f>'Rate Support-Attachment I'!F28</f>
        <v>1056643.3337580799</v>
      </c>
      <c r="I28" s="323">
        <f t="shared" si="1"/>
        <v>14725300.66624192</v>
      </c>
      <c r="J28" s="324">
        <f t="shared" si="2"/>
        <v>7.5401453547722999E-2</v>
      </c>
      <c r="K28" s="319">
        <f>'#33-Carroll Hospital Center'!$F$111</f>
        <v>546974</v>
      </c>
    </row>
    <row r="29" spans="1:11" ht="15.75" x14ac:dyDescent="0.25">
      <c r="A29" s="281">
        <v>210034</v>
      </c>
      <c r="B29" s="281" t="s">
        <v>838</v>
      </c>
      <c r="C29" s="318">
        <f>'#34-MedStar Harbor Hospital'!$C$7</f>
        <v>1125</v>
      </c>
      <c r="D29" s="318">
        <f>'#34-MedStar Harbor Hospital'!$F$108</f>
        <v>682</v>
      </c>
      <c r="E29" s="319">
        <f>'#34-MedStar Harbor Hospital'!$F$121</f>
        <v>183508480</v>
      </c>
      <c r="F29" s="320">
        <f>'#34-MedStar Harbor Hospital'!$K$152</f>
        <v>22870652</v>
      </c>
      <c r="G29" s="321">
        <f t="shared" si="0"/>
        <v>0.12462994625643457</v>
      </c>
      <c r="H29" s="322">
        <f>'Rate Support-Attachment I'!F29</f>
        <v>10451355.777571268</v>
      </c>
      <c r="I29" s="323">
        <f t="shared" si="1"/>
        <v>12419296.222428732</v>
      </c>
      <c r="J29" s="324">
        <f t="shared" si="2"/>
        <v>6.7676960881746351E-2</v>
      </c>
      <c r="K29" s="319">
        <f>'#34-MedStar Harbor Hospital'!$F$111</f>
        <v>3820520</v>
      </c>
    </row>
    <row r="30" spans="1:11" ht="15.75" x14ac:dyDescent="0.25">
      <c r="A30" s="281">
        <v>210035</v>
      </c>
      <c r="B30" s="281" t="s">
        <v>839</v>
      </c>
      <c r="C30" s="318">
        <f>'#35-UM Charles Regional'!$C$7</f>
        <v>0</v>
      </c>
      <c r="D30" s="318">
        <f>'#35-UM Charles Regional'!$F$108</f>
        <v>1868</v>
      </c>
      <c r="E30" s="319">
        <f>'#35-UM Charles Regional'!$F$121</f>
        <v>120993920</v>
      </c>
      <c r="F30" s="320">
        <f>'#35-UM Charles Regional'!$K$152</f>
        <v>11528332</v>
      </c>
      <c r="G30" s="321">
        <f t="shared" si="0"/>
        <v>9.528025871052033E-2</v>
      </c>
      <c r="H30" s="322">
        <f>'Rate Support-Attachment I'!F30</f>
        <v>1114829.1820064944</v>
      </c>
      <c r="I30" s="323">
        <f t="shared" si="1"/>
        <v>10413502.817993505</v>
      </c>
      <c r="J30" s="324">
        <f t="shared" si="2"/>
        <v>8.606633141560753E-2</v>
      </c>
      <c r="K30" s="319">
        <f>'#35-UM Charles Regional'!$F$111</f>
        <v>971260</v>
      </c>
    </row>
    <row r="31" spans="1:11" ht="15.75" x14ac:dyDescent="0.25">
      <c r="A31" s="281">
        <v>210037</v>
      </c>
      <c r="B31" s="281" t="s">
        <v>840</v>
      </c>
      <c r="C31" s="318">
        <f>'#37-UM Shore Health Easton'!$C$7</f>
        <v>1142.6041092709388</v>
      </c>
      <c r="D31" s="318">
        <f>'#37-UM Shore Health Easton'!$F$108</f>
        <v>1060</v>
      </c>
      <c r="E31" s="319">
        <f>'#37-UM Shore Health Easton'!$F$121</f>
        <v>187273585.99999994</v>
      </c>
      <c r="F31" s="320">
        <f>'#37-UM Shore Health Easton'!$K$152</f>
        <v>31622263.144676343</v>
      </c>
      <c r="G31" s="321">
        <f t="shared" si="0"/>
        <v>0.16885597066890337</v>
      </c>
      <c r="H31" s="322">
        <f>'Rate Support-Attachment I'!F31</f>
        <v>2594101.1618318404</v>
      </c>
      <c r="I31" s="323">
        <f t="shared" si="1"/>
        <v>29028161.982844502</v>
      </c>
      <c r="J31" s="324">
        <f t="shared" si="2"/>
        <v>0.15500403769084931</v>
      </c>
      <c r="K31" s="319">
        <f>'#37-UM Shore Health Easton'!$F$111</f>
        <v>2800988.0000000005</v>
      </c>
    </row>
    <row r="32" spans="1:11" ht="15.75" x14ac:dyDescent="0.25">
      <c r="A32" s="281">
        <v>210038</v>
      </c>
      <c r="B32" s="281" t="s">
        <v>841</v>
      </c>
      <c r="C32" s="318">
        <f>'#38-UM Midtown'!$C$7</f>
        <v>1423</v>
      </c>
      <c r="D32" s="318">
        <f>'#38-UM Midtown'!$F$108</f>
        <v>250</v>
      </c>
      <c r="E32" s="319">
        <f>'#38-UM Midtown'!$F$121</f>
        <v>223093000</v>
      </c>
      <c r="F32" s="320">
        <f>'#38-UM Midtown'!$K$152</f>
        <v>37972794.433030695</v>
      </c>
      <c r="G32" s="321">
        <f t="shared" si="0"/>
        <v>0.17021060469414412</v>
      </c>
      <c r="H32" s="322">
        <f>'Rate Support-Attachment I'!F32</f>
        <v>9165486.2968050912</v>
      </c>
      <c r="I32" s="323">
        <f t="shared" si="1"/>
        <v>28807308.136225604</v>
      </c>
      <c r="J32" s="324">
        <f t="shared" si="2"/>
        <v>0.12912690284422013</v>
      </c>
      <c r="K32" s="319">
        <f>'#38-UM Midtown'!$F$111</f>
        <v>3962000</v>
      </c>
    </row>
    <row r="33" spans="1:11" ht="15.75" x14ac:dyDescent="0.25">
      <c r="A33" s="281">
        <v>210039</v>
      </c>
      <c r="B33" s="281" t="s">
        <v>842</v>
      </c>
      <c r="C33" s="318">
        <f>'#39-Calvert Memorial'!$C$7</f>
        <v>1300</v>
      </c>
      <c r="D33" s="318">
        <f>'#39-Calvert Memorial'!$F$108</f>
        <v>376</v>
      </c>
      <c r="E33" s="319">
        <f>'#39-Calvert Memorial'!$F$121</f>
        <v>131906976</v>
      </c>
      <c r="F33" s="320">
        <f>'#39-Calvert Memorial'!$K$152</f>
        <v>18375823</v>
      </c>
      <c r="G33" s="321">
        <f t="shared" si="0"/>
        <v>0.13930895512304065</v>
      </c>
      <c r="H33" s="322">
        <f>'Rate Support-Attachment I'!F33</f>
        <v>4425742.5427839989</v>
      </c>
      <c r="I33" s="323">
        <f t="shared" si="1"/>
        <v>13950080.457216002</v>
      </c>
      <c r="J33" s="324">
        <f t="shared" si="2"/>
        <v>0.10575695751842573</v>
      </c>
      <c r="K33" s="319">
        <f>'#39-Calvert Memorial'!$F$111</f>
        <v>5547029</v>
      </c>
    </row>
    <row r="34" spans="1:11" ht="15.75" x14ac:dyDescent="0.25">
      <c r="A34" s="281">
        <v>210040</v>
      </c>
      <c r="B34" s="281" t="s">
        <v>575</v>
      </c>
      <c r="C34" s="318">
        <f>'#40-Lifebridge Northwest'!$C$7</f>
        <v>1767</v>
      </c>
      <c r="D34" s="318">
        <f>'#40-Lifebridge Northwest'!$F$108</f>
        <v>723</v>
      </c>
      <c r="E34" s="319">
        <f>'#40-Lifebridge Northwest'!$F$121</f>
        <v>244796678</v>
      </c>
      <c r="F34" s="320">
        <f>'#40-Lifebridge Northwest'!$K$152</f>
        <v>13729621.083599998</v>
      </c>
      <c r="G34" s="321">
        <f t="shared" si="0"/>
        <v>5.6085814545244757E-2</v>
      </c>
      <c r="H34" s="322">
        <f>'Rate Support-Attachment I'!F34</f>
        <v>2857179.1964121917</v>
      </c>
      <c r="I34" s="323">
        <f t="shared" si="1"/>
        <v>10872441.887187805</v>
      </c>
      <c r="J34" s="324">
        <f t="shared" si="2"/>
        <v>4.4414172512536321E-2</v>
      </c>
      <c r="K34" s="319">
        <f>'#40-Lifebridge Northwest'!$F$111</f>
        <v>2067000</v>
      </c>
    </row>
    <row r="35" spans="1:11" ht="15.75" x14ac:dyDescent="0.25">
      <c r="A35" s="281">
        <v>210043</v>
      </c>
      <c r="B35" s="281" t="s">
        <v>843</v>
      </c>
      <c r="C35" s="318">
        <f>'#43-UM BWMC'!$C$7</f>
        <v>2200</v>
      </c>
      <c r="D35" s="318">
        <f>'#43-UM BWMC'!$F$108</f>
        <v>2936</v>
      </c>
      <c r="E35" s="319">
        <f>'#43-UM BWMC'!$F$121</f>
        <v>344997000</v>
      </c>
      <c r="F35" s="320">
        <f>'#43-UM BWMC'!$K$152</f>
        <v>23691460</v>
      </c>
      <c r="G35" s="321">
        <f t="shared" ref="G35:G56" si="3">F35/E35</f>
        <v>6.867149569416546E-2</v>
      </c>
      <c r="H35" s="322">
        <f>'Rate Support-Attachment I'!F35</f>
        <v>7068197.5504413443</v>
      </c>
      <c r="I35" s="323">
        <f t="shared" ref="I35:I53" si="4">F35-H35</f>
        <v>16623262.449558657</v>
      </c>
      <c r="J35" s="324">
        <f t="shared" ref="J35:J56" si="5">I35/E35</f>
        <v>4.8183788408475023E-2</v>
      </c>
      <c r="K35" s="319">
        <f>'#43-UM BWMC'!$F$111</f>
        <v>6845000</v>
      </c>
    </row>
    <row r="36" spans="1:11" ht="15.75" x14ac:dyDescent="0.25">
      <c r="A36" s="281">
        <v>210044</v>
      </c>
      <c r="B36" s="281" t="s">
        <v>518</v>
      </c>
      <c r="C36" s="318">
        <f>'#44-GBMC'!$C$7</f>
        <v>0</v>
      </c>
      <c r="D36" s="318">
        <f>'#44-GBMC'!$F$108</f>
        <v>4380</v>
      </c>
      <c r="E36" s="319">
        <f>'#44-GBMC'!$F$121</f>
        <v>504347676</v>
      </c>
      <c r="F36" s="320">
        <f>'#44-GBMC'!$K$152</f>
        <v>42577896.916140087</v>
      </c>
      <c r="G36" s="321">
        <f t="shared" si="3"/>
        <v>8.4421717284050873E-2</v>
      </c>
      <c r="H36" s="322">
        <f>'Rate Support-Attachment I'!F36</f>
        <v>10977339.259685569</v>
      </c>
      <c r="I36" s="323">
        <f t="shared" si="4"/>
        <v>31600557.656454518</v>
      </c>
      <c r="J36" s="324">
        <f t="shared" si="5"/>
        <v>6.265629675758537E-2</v>
      </c>
      <c r="K36" s="319">
        <f>'#44-GBMC'!$F$111</f>
        <v>1710711</v>
      </c>
    </row>
    <row r="37" spans="1:11" ht="15.75" x14ac:dyDescent="0.25">
      <c r="A37" s="281">
        <v>210045</v>
      </c>
      <c r="B37" s="281" t="s">
        <v>844</v>
      </c>
      <c r="C37" s="318">
        <f>'#45-McCready'!$C$7</f>
        <v>273</v>
      </c>
      <c r="D37" s="318">
        <f>'#45-McCready'!$F$108</f>
        <v>8</v>
      </c>
      <c r="E37" s="319">
        <f>'#45-McCready'!$F$121</f>
        <v>18107925</v>
      </c>
      <c r="F37" s="320">
        <f>'#45-McCready'!$K$152</f>
        <v>652490.34019315569</v>
      </c>
      <c r="G37" s="321">
        <f t="shared" si="3"/>
        <v>3.6033413005253541E-2</v>
      </c>
      <c r="H37" s="322">
        <f>'Rate Support-Attachment I'!F37</f>
        <v>245298.531025</v>
      </c>
      <c r="I37" s="323">
        <f t="shared" si="4"/>
        <v>407191.80916815565</v>
      </c>
      <c r="J37" s="324">
        <f t="shared" si="5"/>
        <v>2.2486939236171767E-2</v>
      </c>
      <c r="K37" s="319">
        <f>'#45-McCready'!$F$111</f>
        <v>326004</v>
      </c>
    </row>
    <row r="38" spans="1:11" ht="15.75" x14ac:dyDescent="0.25">
      <c r="A38" s="281">
        <v>210048</v>
      </c>
      <c r="B38" s="281" t="s">
        <v>285</v>
      </c>
      <c r="C38" s="318">
        <f>'#48-Howard County'!$C$7</f>
        <v>1752</v>
      </c>
      <c r="D38" s="318">
        <f>'#48-Howard County'!$F$108</f>
        <v>2580</v>
      </c>
      <c r="E38" s="319">
        <f>'#48-Howard County'!$F$121</f>
        <v>265393000</v>
      </c>
      <c r="F38" s="320">
        <f>'#48-Howard County'!$K$152</f>
        <v>26930941.36613287</v>
      </c>
      <c r="G38" s="321">
        <f t="shared" si="3"/>
        <v>0.10147570345160901</v>
      </c>
      <c r="H38" s="322">
        <f>'Rate Support-Attachment I'!F38</f>
        <v>4982535.5325000007</v>
      </c>
      <c r="I38" s="323">
        <f t="shared" si="4"/>
        <v>21948405.833632872</v>
      </c>
      <c r="J38" s="324">
        <f t="shared" si="5"/>
        <v>8.2701525035072027E-2</v>
      </c>
      <c r="K38" s="319">
        <f>'#48-Howard County'!$F$111</f>
        <v>4598000</v>
      </c>
    </row>
    <row r="39" spans="1:11" ht="15.75" x14ac:dyDescent="0.25">
      <c r="A39" s="281">
        <v>210049</v>
      </c>
      <c r="B39" s="281" t="s">
        <v>845</v>
      </c>
      <c r="C39" s="318">
        <f>'#49-UM Upper Chesapeake Medical'!$C$7</f>
        <v>2156</v>
      </c>
      <c r="D39" s="318">
        <f>'#49-UM Upper Chesapeake Medical'!$F$108</f>
        <v>2183</v>
      </c>
      <c r="E39" s="319">
        <f>'#49-UM Upper Chesapeake Medical'!$F$121</f>
        <v>262553000</v>
      </c>
      <c r="F39" s="320">
        <f>'#49-UM Upper Chesapeake Medical'!$K$152</f>
        <v>15439651.08632303</v>
      </c>
      <c r="G39" s="321">
        <f t="shared" si="3"/>
        <v>5.8805845243905155E-2</v>
      </c>
      <c r="H39" s="322">
        <f>'Rate Support-Attachment I'!F39</f>
        <v>5583666.976787135</v>
      </c>
      <c r="I39" s="323">
        <f t="shared" si="4"/>
        <v>9855984.1095358953</v>
      </c>
      <c r="J39" s="324">
        <f t="shared" si="5"/>
        <v>3.7539026823292423E-2</v>
      </c>
      <c r="K39" s="319">
        <f>'#49-UM Upper Chesapeake Medical'!$F$111</f>
        <v>4313000</v>
      </c>
    </row>
    <row r="40" spans="1:11" ht="15.75" x14ac:dyDescent="0.25">
      <c r="A40" s="281">
        <v>210051</v>
      </c>
      <c r="B40" s="281" t="s">
        <v>846</v>
      </c>
      <c r="C40" s="318">
        <f>'#51-Doctors Community Hospital'!$C$7</f>
        <v>1604</v>
      </c>
      <c r="D40" s="318">
        <f>'#51-Doctors Community Hospital'!$F$108</f>
        <v>1444</v>
      </c>
      <c r="E40" s="319">
        <f>'#51-Doctors Community Hospital'!$F$121</f>
        <v>195871667</v>
      </c>
      <c r="F40" s="320">
        <f>'#51-Doctors Community Hospital'!$K$152</f>
        <v>13508197.5348</v>
      </c>
      <c r="G40" s="321">
        <f t="shared" si="3"/>
        <v>6.8964530407555069E-2</v>
      </c>
      <c r="H40" s="322">
        <f>'Rate Support-Attachment I'!F40</f>
        <v>8958028.9762507994</v>
      </c>
      <c r="I40" s="323">
        <f t="shared" si="4"/>
        <v>4550168.5585492011</v>
      </c>
      <c r="J40" s="324">
        <f t="shared" si="5"/>
        <v>2.3230356019531918E-2</v>
      </c>
      <c r="K40" s="319">
        <f>'#51-Doctors Community Hospital'!$F$111</f>
        <v>8862484</v>
      </c>
    </row>
    <row r="41" spans="1:11" ht="15.75" x14ac:dyDescent="0.25">
      <c r="A41" s="329">
        <v>210056</v>
      </c>
      <c r="B41" s="282" t="s">
        <v>459</v>
      </c>
      <c r="C41" s="318">
        <f>'#2004-MedStar Good Samaritan'!$C$7</f>
        <v>1722</v>
      </c>
      <c r="D41" s="318">
        <f>'#2004-MedStar Good Samaritan'!$F$108</f>
        <v>1594</v>
      </c>
      <c r="E41" s="319">
        <f>'#2004-MedStar Good Samaritan'!$F$121</f>
        <v>259072975.72990733</v>
      </c>
      <c r="F41" s="320">
        <f>'#2004-MedStar Good Samaritan'!$K$152</f>
        <v>18360425.599999998</v>
      </c>
      <c r="G41" s="321">
        <f>F41/E41</f>
        <v>7.0869705913060521E-2</v>
      </c>
      <c r="H41" s="322">
        <f>'Rate Support-Attachment I'!F41</f>
        <v>10577237.331925835</v>
      </c>
      <c r="I41" s="323">
        <f>F41-H41</f>
        <v>7783188.2680741623</v>
      </c>
      <c r="J41" s="324">
        <f>I41/E41</f>
        <v>3.0042455204545956E-2</v>
      </c>
      <c r="K41" s="319">
        <f>'#2004-MedStar Good Samaritan'!$F$111</f>
        <v>4954140.5999999987</v>
      </c>
    </row>
    <row r="42" spans="1:11" ht="15.75" x14ac:dyDescent="0.25">
      <c r="A42" s="329">
        <v>210057</v>
      </c>
      <c r="B42" s="282" t="s">
        <v>847</v>
      </c>
      <c r="C42" s="318">
        <f>'#5050-Shady Grove Adventist'!$C$7</f>
        <v>1994</v>
      </c>
      <c r="D42" s="318">
        <f>'#5050-Shady Grove Adventist'!$F$108</f>
        <v>6323.8587284692685</v>
      </c>
      <c r="E42" s="319">
        <f>'#5050-Shady Grove Adventist'!$F$121</f>
        <v>337019361</v>
      </c>
      <c r="F42" s="320">
        <f>'#5050-Shady Grove Adventist'!$K$152</f>
        <v>28444406.969302144</v>
      </c>
      <c r="G42" s="321">
        <f>F42/E42</f>
        <v>8.4399919591866254E-2</v>
      </c>
      <c r="H42" s="322">
        <f>'Rate Support-Attachment I'!F42</f>
        <v>3447593.2344400003</v>
      </c>
      <c r="I42" s="323">
        <f>F42-H42</f>
        <v>24996813.734862145</v>
      </c>
      <c r="J42" s="324">
        <f>I42/E42</f>
        <v>7.4170260309947431E-2</v>
      </c>
      <c r="K42" s="319">
        <f>'#5050-Shady Grove Adventist'!$F$111</f>
        <v>2979569.0599999996</v>
      </c>
    </row>
    <row r="43" spans="1:11" ht="15.75" x14ac:dyDescent="0.25">
      <c r="A43" s="329">
        <v>210058</v>
      </c>
      <c r="B43" s="282" t="s">
        <v>848</v>
      </c>
      <c r="C43" s="318">
        <f>'#2001-UM ROI'!$C$7</f>
        <v>667</v>
      </c>
      <c r="D43" s="318">
        <f>'#2001-UM ROI'!$F$108</f>
        <v>0</v>
      </c>
      <c r="E43" s="319">
        <f>'#2001-UM ROI'!$F$121</f>
        <v>109216000</v>
      </c>
      <c r="F43" s="320">
        <f>'#2001-UM ROI'!$K$152</f>
        <v>9418990.7585529685</v>
      </c>
      <c r="G43" s="321">
        <f>F43/E43</f>
        <v>8.6241857956279006E-2</v>
      </c>
      <c r="H43" s="322">
        <f>'Rate Support-Attachment I'!F43</f>
        <v>3937587.1251999997</v>
      </c>
      <c r="I43" s="323">
        <f>F43-H43</f>
        <v>5481403.6333529688</v>
      </c>
      <c r="J43" s="324">
        <f>I43/E43</f>
        <v>5.0188650320035243E-2</v>
      </c>
      <c r="K43" s="319">
        <f>'#2001-UM ROI'!$F$111</f>
        <v>2258000</v>
      </c>
    </row>
    <row r="44" spans="1:11" ht="15.75" x14ac:dyDescent="0.25">
      <c r="A44" s="329">
        <v>210060</v>
      </c>
      <c r="B44" s="282" t="s">
        <v>232</v>
      </c>
      <c r="C44" s="318">
        <f>'#60-Fort Washington'!$C$7</f>
        <v>408</v>
      </c>
      <c r="D44" s="318">
        <f>'#60-Fort Washington'!$F$108</f>
        <v>416</v>
      </c>
      <c r="E44" s="319">
        <f>'#60-Fort Washington'!$F$121</f>
        <v>42237402</v>
      </c>
      <c r="F44" s="320">
        <f>'#60-Fort Washington'!$K$152</f>
        <v>2368122.48</v>
      </c>
      <c r="G44" s="321">
        <f t="shared" si="3"/>
        <v>5.6066954118058683E-2</v>
      </c>
      <c r="H44" s="322">
        <f>'Rate Support-Attachment I'!F44</f>
        <v>1135799.4270761802</v>
      </c>
      <c r="I44" s="323">
        <f t="shared" si="4"/>
        <v>1232323.0529238197</v>
      </c>
      <c r="J44" s="324">
        <f t="shared" si="5"/>
        <v>2.9176109196389962E-2</v>
      </c>
      <c r="K44" s="319">
        <f>'#60-Fort Washington'!$F$111</f>
        <v>928769</v>
      </c>
    </row>
    <row r="45" spans="1:11" ht="15.75" x14ac:dyDescent="0.25">
      <c r="A45" s="329">
        <v>210061</v>
      </c>
      <c r="B45" s="282" t="s">
        <v>242</v>
      </c>
      <c r="C45" s="318">
        <f>'#61-Atlantic General'!$C$7</f>
        <v>950</v>
      </c>
      <c r="D45" s="318">
        <f>'#61-Atlantic General'!$F$108</f>
        <v>94.5</v>
      </c>
      <c r="E45" s="319">
        <f>'#61-Atlantic General'!$F$121</f>
        <v>127458282</v>
      </c>
      <c r="F45" s="320">
        <f>'#61-Atlantic General'!$K$152</f>
        <v>13401210.744000001</v>
      </c>
      <c r="G45" s="321">
        <f t="shared" si="3"/>
        <v>0.10514193768907069</v>
      </c>
      <c r="H45" s="322">
        <f>'Rate Support-Attachment I'!F45</f>
        <v>2828190.6859949999</v>
      </c>
      <c r="I45" s="323">
        <f t="shared" si="4"/>
        <v>10573020.058005001</v>
      </c>
      <c r="J45" s="324">
        <f t="shared" si="5"/>
        <v>8.2952789666543611E-2</v>
      </c>
      <c r="K45" s="319">
        <f>'#61-Atlantic General'!$F$111</f>
        <v>2567553</v>
      </c>
    </row>
    <row r="46" spans="1:11" ht="15.75" x14ac:dyDescent="0.25">
      <c r="A46" s="329">
        <v>210062</v>
      </c>
      <c r="B46" s="282" t="s">
        <v>849</v>
      </c>
      <c r="C46" s="318">
        <f>'#62-MedStar Southern Maryland'!$C$7</f>
        <v>1221</v>
      </c>
      <c r="D46" s="318">
        <f>'#62-MedStar Southern Maryland'!$F$108</f>
        <v>8212</v>
      </c>
      <c r="E46" s="319">
        <f>'#62-MedStar Southern Maryland'!$F$121</f>
        <v>247677692</v>
      </c>
      <c r="F46" s="320">
        <f>'#62-MedStar Southern Maryland'!$K$152</f>
        <v>18050703</v>
      </c>
      <c r="G46" s="321">
        <f t="shared" si="3"/>
        <v>7.2879809458172767E-2</v>
      </c>
      <c r="H46" s="322">
        <f>'Rate Support-Attachment I'!F46</f>
        <v>5356629.9335352005</v>
      </c>
      <c r="I46" s="323">
        <f t="shared" si="4"/>
        <v>12694073.0664648</v>
      </c>
      <c r="J46" s="324">
        <f t="shared" si="5"/>
        <v>5.1252387584687281E-2</v>
      </c>
      <c r="K46" s="319">
        <f>'#62-MedStar Southern Maryland'!$F$111</f>
        <v>4843585</v>
      </c>
    </row>
    <row r="47" spans="1:11" s="90" customFormat="1" ht="15.75" x14ac:dyDescent="0.25">
      <c r="A47" s="329">
        <v>210063</v>
      </c>
      <c r="B47" s="282" t="s">
        <v>850</v>
      </c>
      <c r="C47" s="325">
        <f>'#63-UM St Joseph'!$C$7</f>
        <v>2378</v>
      </c>
      <c r="D47" s="325">
        <f>'#63-UM St Joseph'!$F$108</f>
        <v>25</v>
      </c>
      <c r="E47" s="326">
        <f>'#63-UM St Joseph'!$F$121</f>
        <v>337972000</v>
      </c>
      <c r="F47" s="327">
        <f>'#63-UM St Joseph'!$K$152</f>
        <v>38134582.859355778</v>
      </c>
      <c r="G47" s="328">
        <f t="shared" si="3"/>
        <v>0.11283355680161604</v>
      </c>
      <c r="H47" s="322">
        <f>'Rate Support-Attachment I'!F47</f>
        <v>5765972.5433091568</v>
      </c>
      <c r="I47" s="323">
        <f t="shared" si="4"/>
        <v>32368610.316046622</v>
      </c>
      <c r="J47" s="324">
        <f t="shared" si="5"/>
        <v>9.5773053140634792E-2</v>
      </c>
      <c r="K47" s="326">
        <f>'#63-UM St Joseph'!$F$111</f>
        <v>5281000</v>
      </c>
    </row>
    <row r="48" spans="1:11" s="5" customFormat="1" ht="15.75" x14ac:dyDescent="0.25">
      <c r="A48" s="329">
        <v>210064</v>
      </c>
      <c r="B48" s="282" t="s">
        <v>198</v>
      </c>
      <c r="C48" s="330">
        <f>'#64-Levindale'!$C$7</f>
        <v>884</v>
      </c>
      <c r="D48" s="330">
        <f>'#64-Levindale'!$F$108</f>
        <v>126</v>
      </c>
      <c r="E48" s="331">
        <f>'#64-Levindale'!$F$121</f>
        <v>77169000</v>
      </c>
      <c r="F48" s="332">
        <f>'#64-Levindale'!$K$152</f>
        <v>3327823.7047999999</v>
      </c>
      <c r="G48" s="333">
        <f t="shared" si="3"/>
        <v>4.3123841241949484E-2</v>
      </c>
      <c r="H48" s="322">
        <f>'Rate Support-Attachment I'!F48</f>
        <v>60312.800000000003</v>
      </c>
      <c r="I48" s="323">
        <f t="shared" si="4"/>
        <v>3267510.9048000001</v>
      </c>
      <c r="J48" s="324">
        <f t="shared" si="5"/>
        <v>4.234227351397582E-2</v>
      </c>
      <c r="K48" s="331">
        <f>'#64-Levindale'!$F$111</f>
        <v>1018600</v>
      </c>
    </row>
    <row r="49" spans="1:48" s="5" customFormat="1" ht="15.75" x14ac:dyDescent="0.25">
      <c r="A49" s="334">
        <v>210065</v>
      </c>
      <c r="B49" s="282" t="s">
        <v>851</v>
      </c>
      <c r="C49" s="330">
        <f>'#65-Holy Cross Germantown'!$C$7</f>
        <v>674</v>
      </c>
      <c r="D49" s="330">
        <f>'#65-Holy Cross Germantown'!$F$108</f>
        <v>356</v>
      </c>
      <c r="E49" s="331">
        <f>'#65-Holy Cross Germantown'!$F$121</f>
        <v>100707481.83</v>
      </c>
      <c r="F49" s="332">
        <f>'#65-Holy Cross Germantown'!$K$152</f>
        <v>9403753.5700000003</v>
      </c>
      <c r="G49" s="333">
        <f t="shared" si="3"/>
        <v>9.3376911021110384E-2</v>
      </c>
      <c r="H49" s="322">
        <f>'Rate Support-Attachment I'!F49</f>
        <v>5465624.1035159994</v>
      </c>
      <c r="I49" s="323">
        <f t="shared" si="4"/>
        <v>3938129.4664840009</v>
      </c>
      <c r="J49" s="324">
        <f t="shared" si="5"/>
        <v>3.9104636467147388E-2</v>
      </c>
      <c r="K49" s="331">
        <f>'#65-Holy Cross Germantown'!$F$111</f>
        <v>4839365</v>
      </c>
    </row>
    <row r="50" spans="1:48" ht="15.75" x14ac:dyDescent="0.25">
      <c r="A50" s="335">
        <v>213300</v>
      </c>
      <c r="B50" s="282" t="s">
        <v>852</v>
      </c>
      <c r="C50" s="336">
        <f>'#5034-Mt Washington Pediatric'!$C$7</f>
        <v>672</v>
      </c>
      <c r="D50" s="336">
        <f>'#5034-Mt Washington Pediatric'!$F$108</f>
        <v>3151</v>
      </c>
      <c r="E50" s="337">
        <f>'#5034-Mt Washington Pediatric'!$F$121</f>
        <v>58944476</v>
      </c>
      <c r="F50" s="338">
        <f>'#5034-Mt Washington Pediatric'!$K$152</f>
        <v>1476801.6781249996</v>
      </c>
      <c r="G50" s="321">
        <f>F50/E50</f>
        <v>2.5054114962782936E-2</v>
      </c>
      <c r="H50" s="322">
        <f>'Rate Support-Attachment I'!F50</f>
        <v>58585.9</v>
      </c>
      <c r="I50" s="323">
        <f>F50-H50</f>
        <v>1418215.7781249997</v>
      </c>
      <c r="J50" s="324">
        <f>I50/E50</f>
        <v>2.4060198246990943E-2</v>
      </c>
      <c r="K50" s="337">
        <f>'#5034-Mt Washington Pediatric'!$F$111</f>
        <v>86541</v>
      </c>
    </row>
    <row r="51" spans="1:48" ht="15.75" x14ac:dyDescent="0.25">
      <c r="A51" s="335">
        <v>214000</v>
      </c>
      <c r="B51" s="282" t="s">
        <v>199</v>
      </c>
      <c r="C51" s="336">
        <f>'#4000-Sheppard Pratt'!$C$7</f>
        <v>2782</v>
      </c>
      <c r="D51" s="336">
        <f>'#4000-Sheppard Pratt'!$F$108</f>
        <v>724</v>
      </c>
      <c r="E51" s="337">
        <f>'#4000-Sheppard Pratt'!$F$121</f>
        <v>234132619</v>
      </c>
      <c r="F51" s="338">
        <f>'#4000-Sheppard Pratt'!$K$152</f>
        <v>16611638.236795001</v>
      </c>
      <c r="G51" s="321">
        <f>F51/E51</f>
        <v>7.0949696406014243E-2</v>
      </c>
      <c r="H51" s="322">
        <f>'Rate Support-Attachment I'!F51</f>
        <v>2670487.9799999991</v>
      </c>
      <c r="I51" s="323">
        <f>F51-H51</f>
        <v>13941150.256795002</v>
      </c>
      <c r="J51" s="324">
        <f>I51/E51</f>
        <v>5.954381886786566E-2</v>
      </c>
      <c r="K51" s="337">
        <f>'#4000-Sheppard Pratt'!$F$111</f>
        <v>4605737.68</v>
      </c>
    </row>
    <row r="52" spans="1:48" s="88" customFormat="1" ht="15.75" x14ac:dyDescent="0.25">
      <c r="A52" s="335">
        <v>213029</v>
      </c>
      <c r="B52" s="282" t="s">
        <v>853</v>
      </c>
      <c r="C52" s="336">
        <f>'#3029-Adventist Rehab'!$C$7</f>
        <v>499</v>
      </c>
      <c r="D52" s="336">
        <f>'#3029-Adventist Rehab'!$F$108</f>
        <v>840.83832000000007</v>
      </c>
      <c r="E52" s="337">
        <f>'#3029-Adventist Rehab'!$F$121</f>
        <v>46858266</v>
      </c>
      <c r="F52" s="338">
        <f>'#3029-Adventist Rehab'!$K$152</f>
        <v>2710712.890693543</v>
      </c>
      <c r="G52" s="321">
        <f t="shared" si="3"/>
        <v>5.7849193367367518E-2</v>
      </c>
      <c r="H52" s="322">
        <f>'Rate Support-Attachment I'!F52</f>
        <v>59505.493000000002</v>
      </c>
      <c r="I52" s="323">
        <f t="shared" si="4"/>
        <v>2651207.3976935432</v>
      </c>
      <c r="J52" s="324">
        <f t="shared" si="5"/>
        <v>5.6579289504514386E-2</v>
      </c>
      <c r="K52" s="337">
        <f>'#3029-Adventist Rehab'!$F$111</f>
        <v>252630.39999999999</v>
      </c>
    </row>
    <row r="53" spans="1:48" s="352" customFormat="1" x14ac:dyDescent="0.25">
      <c r="A53" s="343">
        <v>4013</v>
      </c>
      <c r="B53" s="344" t="s">
        <v>435</v>
      </c>
      <c r="C53" s="345">
        <f>'#4013-ABH-Rockville'!$C$7</f>
        <v>397</v>
      </c>
      <c r="D53" s="345">
        <f>'#4013-ABH-Rockville'!$F$108</f>
        <v>752.24999700000001</v>
      </c>
      <c r="E53" s="346">
        <f>'#4013-ABH-Rockville'!$F$121</f>
        <v>49561380</v>
      </c>
      <c r="F53" s="347">
        <f>'#4013-ABH-Rockville'!$K$152</f>
        <v>5299339.3221148914</v>
      </c>
      <c r="G53" s="348">
        <f t="shared" si="3"/>
        <v>0.10692477332380357</v>
      </c>
      <c r="H53" s="349">
        <v>0</v>
      </c>
      <c r="I53" s="350">
        <f t="shared" si="4"/>
        <v>5299339.3221148914</v>
      </c>
      <c r="J53" s="351">
        <f t="shared" si="5"/>
        <v>0.10692477332380357</v>
      </c>
      <c r="K53" s="346">
        <f>'#4013-ABH-Rockville'!$F$111</f>
        <v>1415734.0699999998</v>
      </c>
      <c r="Q53" s="353"/>
    </row>
    <row r="54" spans="1:48" s="89" customFormat="1" x14ac:dyDescent="0.25"/>
    <row r="55" spans="1:48" s="4" customFormat="1" x14ac:dyDescent="0.25"/>
    <row r="56" spans="1:48" x14ac:dyDescent="0.25">
      <c r="A56" s="10"/>
      <c r="B56" s="339" t="s">
        <v>477</v>
      </c>
      <c r="C56" s="11">
        <f>SUM(C3:C53)</f>
        <v>86205.277575112676</v>
      </c>
      <c r="D56" s="12">
        <f>SUM(D3:D53)</f>
        <v>113545.14372846927</v>
      </c>
      <c r="E56" s="13">
        <f>SUM(E3:E53)</f>
        <v>16143540167.628906</v>
      </c>
      <c r="F56" s="13">
        <f>SUM(F3:F53)</f>
        <v>1748441688.9699364</v>
      </c>
      <c r="G56" s="14">
        <f t="shared" si="3"/>
        <v>0.1083059645415272</v>
      </c>
      <c r="H56" s="187">
        <f>SUM(H3:H53)</f>
        <v>662260166.38869727</v>
      </c>
      <c r="I56" s="188">
        <f>SUM(I3:I53)</f>
        <v>1086181522.581239</v>
      </c>
      <c r="J56" s="189">
        <f t="shared" si="5"/>
        <v>6.72827342269854E-2</v>
      </c>
      <c r="K56" s="13">
        <f>SUM(K3:K53)</f>
        <v>310740129.84600002</v>
      </c>
    </row>
    <row r="57" spans="1:48" x14ac:dyDescent="0.25">
      <c r="A57" s="3"/>
      <c r="B57" s="3"/>
      <c r="C57" s="11"/>
      <c r="D57" s="12"/>
      <c r="E57" s="13"/>
      <c r="F57" s="13"/>
      <c r="G57" s="13"/>
      <c r="H57" s="188"/>
      <c r="I57" s="189"/>
      <c r="J57" s="187"/>
      <c r="K57" s="154"/>
    </row>
    <row r="58" spans="1:48" x14ac:dyDescent="0.25">
      <c r="C58" s="11">
        <f>AVERAGE(C3:C53)</f>
        <v>1724.1055515022535</v>
      </c>
      <c r="D58" s="11">
        <f>AVERAGE(D3:D53)</f>
        <v>2226.3753672248877</v>
      </c>
      <c r="E58" s="153">
        <f>AVERAGE(E3:E53)</f>
        <v>316540003.28684127</v>
      </c>
      <c r="F58" s="153">
        <f>AVERAGE(F3:F53)</f>
        <v>34283170.371959537</v>
      </c>
      <c r="G58" s="100">
        <f>AVERAGE(G3:G53)</f>
        <v>0.10527260293400471</v>
      </c>
      <c r="H58" s="188"/>
      <c r="I58" s="189">
        <f>AVERAGE(J3:J53)</f>
        <v>7.7075040456485985E-2</v>
      </c>
      <c r="J58" s="187"/>
      <c r="K58" s="153">
        <f>AVERAGE(K3:K53)</f>
        <v>6092943.722470589</v>
      </c>
    </row>
    <row r="59" spans="1:48" ht="96.75" customHeight="1" x14ac:dyDescent="0.25">
      <c r="A59" s="21"/>
      <c r="B59" s="360" t="s">
        <v>611</v>
      </c>
      <c r="C59" s="361"/>
      <c r="D59" s="361"/>
      <c r="E59" s="361"/>
      <c r="F59" s="95"/>
      <c r="G59" s="98"/>
      <c r="H59" s="99"/>
      <c r="I59" s="210"/>
      <c r="J59" s="97"/>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row>
    <row r="60" spans="1:48" x14ac:dyDescent="0.25">
      <c r="A60" s="3"/>
      <c r="B60" s="3"/>
      <c r="C60" s="84"/>
      <c r="D60" s="212"/>
      <c r="E60" s="85"/>
      <c r="F60" s="85"/>
      <c r="G60" s="86"/>
      <c r="H60" s="219"/>
      <c r="I60" s="87"/>
      <c r="J60" s="85"/>
    </row>
    <row r="61" spans="1:48" x14ac:dyDescent="0.25">
      <c r="C61" s="359"/>
      <c r="D61" s="359"/>
      <c r="E61" s="359"/>
      <c r="F61" s="359"/>
      <c r="G61" s="359"/>
      <c r="H61" s="359"/>
      <c r="I61" s="359"/>
    </row>
    <row r="62" spans="1:48" x14ac:dyDescent="0.25">
      <c r="C62" s="16"/>
      <c r="D62" s="17">
        <f>COUNTIF(D3:D53,0)</f>
        <v>3</v>
      </c>
      <c r="E62" s="18"/>
      <c r="F62" s="18"/>
      <c r="G62" s="8"/>
      <c r="H62" s="20"/>
      <c r="I62" s="19"/>
    </row>
    <row r="65" spans="4:4" x14ac:dyDescent="0.25">
      <c r="D65" s="22"/>
    </row>
  </sheetData>
  <sheetProtection algorithmName="SHA-512" hashValue="UC2Oba9qtua0ozt+ScMJBRhRVW9tasFCjJnJQx2uToN9hH+PMuCNeYLgVGOoYZiJ9PtK99X7kZpgQarEmB6jNQ==" saltValue="LHs2UGZgq4sE3poTefyW8g==" spinCount="100000" sheet="1" objects="1" scenarios="1"/>
  <sortState ref="A3:K54">
    <sortCondition ref="A3:A54"/>
  </sortState>
  <dataConsolidate/>
  <mergeCells count="3">
    <mergeCell ref="A1:C1"/>
    <mergeCell ref="C61:I61"/>
    <mergeCell ref="B59:E59"/>
  </mergeCells>
  <pageMargins left="0.51" right="0.11" top="0.48" bottom="0.28000000000000003" header="0.3" footer="0.3"/>
  <pageSetup paperSize="5" scale="61" orientation="landscape" r:id="rId1"/>
  <headerFooter>
    <oddHeader xml:space="preserve">&amp;L&amp;12ATTACHMENT II
&amp;C&amp;12FY2015 Analysis - Acute Hospitals&amp;10
&amp;R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249977111117893"/>
    <pageSetUpPr fitToPage="1"/>
  </sheetPr>
  <dimension ref="A1:O127"/>
  <sheetViews>
    <sheetView topLeftCell="C54" zoomScale="78" zoomScaleNormal="78" zoomScaleSheetLayoutView="85" workbookViewId="0">
      <selection activeCell="G111" sqref="G111"/>
    </sheetView>
  </sheetViews>
  <sheetFormatPr defaultRowHeight="12.75" x14ac:dyDescent="0.2"/>
  <cols>
    <col min="1" max="1" width="6.28515625" style="27" customWidth="1"/>
    <col min="2" max="2" width="4.42578125" style="27" customWidth="1"/>
    <col min="3" max="3" width="56" style="27" customWidth="1"/>
    <col min="4" max="4" width="0.7109375" style="27" hidden="1" customWidth="1"/>
    <col min="5" max="5" width="5.28515625" style="27" hidden="1" customWidth="1"/>
    <col min="6" max="6" width="11.42578125" style="27" customWidth="1"/>
    <col min="7" max="7" width="28.28515625" style="27" customWidth="1"/>
    <col min="8" max="8" width="19.28515625" style="27" bestFit="1" customWidth="1"/>
    <col min="9" max="9" width="22.7109375" style="27" customWidth="1"/>
    <col min="10" max="10" width="23.7109375" style="27" customWidth="1"/>
    <col min="11" max="11" width="17" style="27" bestFit="1" customWidth="1"/>
    <col min="12" max="12" width="20.7109375" style="27" bestFit="1" customWidth="1"/>
    <col min="13" max="13" width="23.140625" style="27" bestFit="1" customWidth="1"/>
    <col min="14" max="14" width="14.7109375" style="27" bestFit="1" customWidth="1"/>
    <col min="15" max="15" width="16" style="27" bestFit="1" customWidth="1"/>
    <col min="16" max="16" width="14.7109375" style="27" bestFit="1" customWidth="1"/>
    <col min="17" max="17" width="16" style="27" bestFit="1" customWidth="1"/>
    <col min="18" max="18" width="12.7109375" style="27" bestFit="1" customWidth="1"/>
    <col min="19" max="19" width="14.7109375" style="27" bestFit="1" customWidth="1"/>
    <col min="20" max="257" width="9.28515625" style="27"/>
    <col min="258" max="258" width="6.28515625" style="27" customWidth="1"/>
    <col min="259" max="259" width="4.42578125" style="27" customWidth="1"/>
    <col min="260" max="260" width="38.42578125" style="27" customWidth="1"/>
    <col min="261" max="262" width="0" style="27" hidden="1" customWidth="1"/>
    <col min="263" max="263" width="28.28515625" style="27" customWidth="1"/>
    <col min="264" max="264" width="19.28515625" style="27" bestFit="1" customWidth="1"/>
    <col min="265" max="265" width="18" style="27" bestFit="1" customWidth="1"/>
    <col min="266" max="266" width="16.28515625" style="27" bestFit="1" customWidth="1"/>
    <col min="267" max="267" width="16.5703125" style="27" bestFit="1" customWidth="1"/>
    <col min="268" max="268" width="16.42578125" style="27" bestFit="1" customWidth="1"/>
    <col min="269" max="269" width="15.5703125" style="27" bestFit="1" customWidth="1"/>
    <col min="270" max="270" width="14.7109375" style="27" bestFit="1" customWidth="1"/>
    <col min="271" max="271" width="16" style="27" bestFit="1" customWidth="1"/>
    <col min="272" max="272" width="14.7109375" style="27" bestFit="1" customWidth="1"/>
    <col min="273" max="273" width="16" style="27" bestFit="1" customWidth="1"/>
    <col min="274" max="274" width="12.7109375" style="27" bestFit="1" customWidth="1"/>
    <col min="275" max="275" width="14.7109375" style="27" bestFit="1" customWidth="1"/>
    <col min="276" max="513" width="9.28515625" style="27"/>
    <col min="514" max="514" width="6.28515625" style="27" customWidth="1"/>
    <col min="515" max="515" width="4.42578125" style="27" customWidth="1"/>
    <col min="516" max="516" width="38.42578125" style="27" customWidth="1"/>
    <col min="517" max="518" width="0" style="27" hidden="1" customWidth="1"/>
    <col min="519" max="519" width="28.28515625" style="27" customWidth="1"/>
    <col min="520" max="520" width="19.28515625" style="27" bestFit="1" customWidth="1"/>
    <col min="521" max="521" width="18" style="27" bestFit="1" customWidth="1"/>
    <col min="522" max="522" width="16.28515625" style="27" bestFit="1" customWidth="1"/>
    <col min="523" max="523" width="16.5703125" style="27" bestFit="1" customWidth="1"/>
    <col min="524" max="524" width="16.42578125" style="27" bestFit="1" customWidth="1"/>
    <col min="525" max="525" width="15.5703125" style="27" bestFit="1" customWidth="1"/>
    <col min="526" max="526" width="14.7109375" style="27" bestFit="1" customWidth="1"/>
    <col min="527" max="527" width="16" style="27" bestFit="1" customWidth="1"/>
    <col min="528" max="528" width="14.7109375" style="27" bestFit="1" customWidth="1"/>
    <col min="529" max="529" width="16" style="27" bestFit="1" customWidth="1"/>
    <col min="530" max="530" width="12.7109375" style="27" bestFit="1" customWidth="1"/>
    <col min="531" max="531" width="14.7109375" style="27" bestFit="1" customWidth="1"/>
    <col min="532" max="769" width="9.28515625" style="27"/>
    <col min="770" max="770" width="6.28515625" style="27" customWidth="1"/>
    <col min="771" max="771" width="4.42578125" style="27" customWidth="1"/>
    <col min="772" max="772" width="38.42578125" style="27" customWidth="1"/>
    <col min="773" max="774" width="0" style="27" hidden="1" customWidth="1"/>
    <col min="775" max="775" width="28.28515625" style="27" customWidth="1"/>
    <col min="776" max="776" width="19.28515625" style="27" bestFit="1" customWidth="1"/>
    <col min="777" max="777" width="18" style="27" bestFit="1" customWidth="1"/>
    <col min="778" max="778" width="16.28515625" style="27" bestFit="1" customWidth="1"/>
    <col min="779" max="779" width="16.5703125" style="27" bestFit="1" customWidth="1"/>
    <col min="780" max="780" width="16.42578125" style="27" bestFit="1" customWidth="1"/>
    <col min="781" max="781" width="15.5703125" style="27" bestFit="1" customWidth="1"/>
    <col min="782" max="782" width="14.7109375" style="27" bestFit="1" customWidth="1"/>
    <col min="783" max="783" width="16" style="27" bestFit="1" customWidth="1"/>
    <col min="784" max="784" width="14.7109375" style="27" bestFit="1" customWidth="1"/>
    <col min="785" max="785" width="16" style="27" bestFit="1" customWidth="1"/>
    <col min="786" max="786" width="12.7109375" style="27" bestFit="1" customWidth="1"/>
    <col min="787" max="787" width="14.7109375" style="27" bestFit="1" customWidth="1"/>
    <col min="788" max="1025" width="9.28515625" style="27"/>
    <col min="1026" max="1026" width="6.28515625" style="27" customWidth="1"/>
    <col min="1027" max="1027" width="4.42578125" style="27" customWidth="1"/>
    <col min="1028" max="1028" width="38.42578125" style="27" customWidth="1"/>
    <col min="1029" max="1030" width="0" style="27" hidden="1" customWidth="1"/>
    <col min="1031" max="1031" width="28.28515625" style="27" customWidth="1"/>
    <col min="1032" max="1032" width="19.28515625" style="27" bestFit="1" customWidth="1"/>
    <col min="1033" max="1033" width="18" style="27" bestFit="1" customWidth="1"/>
    <col min="1034" max="1034" width="16.28515625" style="27" bestFit="1" customWidth="1"/>
    <col min="1035" max="1035" width="16.5703125" style="27" bestFit="1" customWidth="1"/>
    <col min="1036" max="1036" width="16.42578125" style="27" bestFit="1" customWidth="1"/>
    <col min="1037" max="1037" width="15.5703125" style="27" bestFit="1" customWidth="1"/>
    <col min="1038" max="1038" width="14.7109375" style="27" bestFit="1" customWidth="1"/>
    <col min="1039" max="1039" width="16" style="27" bestFit="1" customWidth="1"/>
    <col min="1040" max="1040" width="14.7109375" style="27" bestFit="1" customWidth="1"/>
    <col min="1041" max="1041" width="16" style="27" bestFit="1" customWidth="1"/>
    <col min="1042" max="1042" width="12.7109375" style="27" bestFit="1" customWidth="1"/>
    <col min="1043" max="1043" width="14.7109375" style="27" bestFit="1" customWidth="1"/>
    <col min="1044" max="1281" width="9.28515625" style="27"/>
    <col min="1282" max="1282" width="6.28515625" style="27" customWidth="1"/>
    <col min="1283" max="1283" width="4.42578125" style="27" customWidth="1"/>
    <col min="1284" max="1284" width="38.42578125" style="27" customWidth="1"/>
    <col min="1285" max="1286" width="0" style="27" hidden="1" customWidth="1"/>
    <col min="1287" max="1287" width="28.28515625" style="27" customWidth="1"/>
    <col min="1288" max="1288" width="19.28515625" style="27" bestFit="1" customWidth="1"/>
    <col min="1289" max="1289" width="18" style="27" bestFit="1" customWidth="1"/>
    <col min="1290" max="1290" width="16.28515625" style="27" bestFit="1" customWidth="1"/>
    <col min="1291" max="1291" width="16.5703125" style="27" bestFit="1" customWidth="1"/>
    <col min="1292" max="1292" width="16.42578125" style="27" bestFit="1" customWidth="1"/>
    <col min="1293" max="1293" width="15.5703125" style="27" bestFit="1" customWidth="1"/>
    <col min="1294" max="1294" width="14.7109375" style="27" bestFit="1" customWidth="1"/>
    <col min="1295" max="1295" width="16" style="27" bestFit="1" customWidth="1"/>
    <col min="1296" max="1296" width="14.7109375" style="27" bestFit="1" customWidth="1"/>
    <col min="1297" max="1297" width="16" style="27" bestFit="1" customWidth="1"/>
    <col min="1298" max="1298" width="12.7109375" style="27" bestFit="1" customWidth="1"/>
    <col min="1299" max="1299" width="14.7109375" style="27" bestFit="1" customWidth="1"/>
    <col min="1300" max="1537" width="9.28515625" style="27"/>
    <col min="1538" max="1538" width="6.28515625" style="27" customWidth="1"/>
    <col min="1539" max="1539" width="4.42578125" style="27" customWidth="1"/>
    <col min="1540" max="1540" width="38.42578125" style="27" customWidth="1"/>
    <col min="1541" max="1542" width="0" style="27" hidden="1" customWidth="1"/>
    <col min="1543" max="1543" width="28.28515625" style="27" customWidth="1"/>
    <col min="1544" max="1544" width="19.28515625" style="27" bestFit="1" customWidth="1"/>
    <col min="1545" max="1545" width="18" style="27" bestFit="1" customWidth="1"/>
    <col min="1546" max="1546" width="16.28515625" style="27" bestFit="1" customWidth="1"/>
    <col min="1547" max="1547" width="16.5703125" style="27" bestFit="1" customWidth="1"/>
    <col min="1548" max="1548" width="16.42578125" style="27" bestFit="1" customWidth="1"/>
    <col min="1549" max="1549" width="15.5703125" style="27" bestFit="1" customWidth="1"/>
    <col min="1550" max="1550" width="14.7109375" style="27" bestFit="1" customWidth="1"/>
    <col min="1551" max="1551" width="16" style="27" bestFit="1" customWidth="1"/>
    <col min="1552" max="1552" width="14.7109375" style="27" bestFit="1" customWidth="1"/>
    <col min="1553" max="1553" width="16" style="27" bestFit="1" customWidth="1"/>
    <col min="1554" max="1554" width="12.7109375" style="27" bestFit="1" customWidth="1"/>
    <col min="1555" max="1555" width="14.7109375" style="27" bestFit="1" customWidth="1"/>
    <col min="1556" max="1793" width="9.28515625" style="27"/>
    <col min="1794" max="1794" width="6.28515625" style="27" customWidth="1"/>
    <col min="1795" max="1795" width="4.42578125" style="27" customWidth="1"/>
    <col min="1796" max="1796" width="38.42578125" style="27" customWidth="1"/>
    <col min="1797" max="1798" width="0" style="27" hidden="1" customWidth="1"/>
    <col min="1799" max="1799" width="28.28515625" style="27" customWidth="1"/>
    <col min="1800" max="1800" width="19.28515625" style="27" bestFit="1" customWidth="1"/>
    <col min="1801" max="1801" width="18" style="27" bestFit="1" customWidth="1"/>
    <col min="1802" max="1802" width="16.28515625" style="27" bestFit="1" customWidth="1"/>
    <col min="1803" max="1803" width="16.5703125" style="27" bestFit="1" customWidth="1"/>
    <col min="1804" max="1804" width="16.42578125" style="27" bestFit="1" customWidth="1"/>
    <col min="1805" max="1805" width="15.5703125" style="27" bestFit="1" customWidth="1"/>
    <col min="1806" max="1806" width="14.7109375" style="27" bestFit="1" customWidth="1"/>
    <col min="1807" max="1807" width="16" style="27" bestFit="1" customWidth="1"/>
    <col min="1808" max="1808" width="14.7109375" style="27" bestFit="1" customWidth="1"/>
    <col min="1809" max="1809" width="16" style="27" bestFit="1" customWidth="1"/>
    <col min="1810" max="1810" width="12.7109375" style="27" bestFit="1" customWidth="1"/>
    <col min="1811" max="1811" width="14.7109375" style="27" bestFit="1" customWidth="1"/>
    <col min="1812" max="2049" width="9.28515625" style="27"/>
    <col min="2050" max="2050" width="6.28515625" style="27" customWidth="1"/>
    <col min="2051" max="2051" width="4.42578125" style="27" customWidth="1"/>
    <col min="2052" max="2052" width="38.42578125" style="27" customWidth="1"/>
    <col min="2053" max="2054" width="0" style="27" hidden="1" customWidth="1"/>
    <col min="2055" max="2055" width="28.28515625" style="27" customWidth="1"/>
    <col min="2056" max="2056" width="19.28515625" style="27" bestFit="1" customWidth="1"/>
    <col min="2057" max="2057" width="18" style="27" bestFit="1" customWidth="1"/>
    <col min="2058" max="2058" width="16.28515625" style="27" bestFit="1" customWidth="1"/>
    <col min="2059" max="2059" width="16.5703125" style="27" bestFit="1" customWidth="1"/>
    <col min="2060" max="2060" width="16.42578125" style="27" bestFit="1" customWidth="1"/>
    <col min="2061" max="2061" width="15.5703125" style="27" bestFit="1" customWidth="1"/>
    <col min="2062" max="2062" width="14.7109375" style="27" bestFit="1" customWidth="1"/>
    <col min="2063" max="2063" width="16" style="27" bestFit="1" customWidth="1"/>
    <col min="2064" max="2064" width="14.7109375" style="27" bestFit="1" customWidth="1"/>
    <col min="2065" max="2065" width="16" style="27" bestFit="1" customWidth="1"/>
    <col min="2066" max="2066" width="12.7109375" style="27" bestFit="1" customWidth="1"/>
    <col min="2067" max="2067" width="14.7109375" style="27" bestFit="1" customWidth="1"/>
    <col min="2068" max="2305" width="9.28515625" style="27"/>
    <col min="2306" max="2306" width="6.28515625" style="27" customWidth="1"/>
    <col min="2307" max="2307" width="4.42578125" style="27" customWidth="1"/>
    <col min="2308" max="2308" width="38.42578125" style="27" customWidth="1"/>
    <col min="2309" max="2310" width="0" style="27" hidden="1" customWidth="1"/>
    <col min="2311" max="2311" width="28.28515625" style="27" customWidth="1"/>
    <col min="2312" max="2312" width="19.28515625" style="27" bestFit="1" customWidth="1"/>
    <col min="2313" max="2313" width="18" style="27" bestFit="1" customWidth="1"/>
    <col min="2314" max="2314" width="16.28515625" style="27" bestFit="1" customWidth="1"/>
    <col min="2315" max="2315" width="16.5703125" style="27" bestFit="1" customWidth="1"/>
    <col min="2316" max="2316" width="16.42578125" style="27" bestFit="1" customWidth="1"/>
    <col min="2317" max="2317" width="15.5703125" style="27" bestFit="1" customWidth="1"/>
    <col min="2318" max="2318" width="14.7109375" style="27" bestFit="1" customWidth="1"/>
    <col min="2319" max="2319" width="16" style="27" bestFit="1" customWidth="1"/>
    <col min="2320" max="2320" width="14.7109375" style="27" bestFit="1" customWidth="1"/>
    <col min="2321" max="2321" width="16" style="27" bestFit="1" customWidth="1"/>
    <col min="2322" max="2322" width="12.7109375" style="27" bestFit="1" customWidth="1"/>
    <col min="2323" max="2323" width="14.7109375" style="27" bestFit="1" customWidth="1"/>
    <col min="2324" max="2561" width="9.28515625" style="27"/>
    <col min="2562" max="2562" width="6.28515625" style="27" customWidth="1"/>
    <col min="2563" max="2563" width="4.42578125" style="27" customWidth="1"/>
    <col min="2564" max="2564" width="38.42578125" style="27" customWidth="1"/>
    <col min="2565" max="2566" width="0" style="27" hidden="1" customWidth="1"/>
    <col min="2567" max="2567" width="28.28515625" style="27" customWidth="1"/>
    <col min="2568" max="2568" width="19.28515625" style="27" bestFit="1" customWidth="1"/>
    <col min="2569" max="2569" width="18" style="27" bestFit="1" customWidth="1"/>
    <col min="2570" max="2570" width="16.28515625" style="27" bestFit="1" customWidth="1"/>
    <col min="2571" max="2571" width="16.5703125" style="27" bestFit="1" customWidth="1"/>
    <col min="2572" max="2572" width="16.42578125" style="27" bestFit="1" customWidth="1"/>
    <col min="2573" max="2573" width="15.5703125" style="27" bestFit="1" customWidth="1"/>
    <col min="2574" max="2574" width="14.7109375" style="27" bestFit="1" customWidth="1"/>
    <col min="2575" max="2575" width="16" style="27" bestFit="1" customWidth="1"/>
    <col min="2576" max="2576" width="14.7109375" style="27" bestFit="1" customWidth="1"/>
    <col min="2577" max="2577" width="16" style="27" bestFit="1" customWidth="1"/>
    <col min="2578" max="2578" width="12.7109375" style="27" bestFit="1" customWidth="1"/>
    <col min="2579" max="2579" width="14.7109375" style="27" bestFit="1" customWidth="1"/>
    <col min="2580" max="2817" width="9.28515625" style="27"/>
    <col min="2818" max="2818" width="6.28515625" style="27" customWidth="1"/>
    <col min="2819" max="2819" width="4.42578125" style="27" customWidth="1"/>
    <col min="2820" max="2820" width="38.42578125" style="27" customWidth="1"/>
    <col min="2821" max="2822" width="0" style="27" hidden="1" customWidth="1"/>
    <col min="2823" max="2823" width="28.28515625" style="27" customWidth="1"/>
    <col min="2824" max="2824" width="19.28515625" style="27" bestFit="1" customWidth="1"/>
    <col min="2825" max="2825" width="18" style="27" bestFit="1" customWidth="1"/>
    <col min="2826" max="2826" width="16.28515625" style="27" bestFit="1" customWidth="1"/>
    <col min="2827" max="2827" width="16.5703125" style="27" bestFit="1" customWidth="1"/>
    <col min="2828" max="2828" width="16.42578125" style="27" bestFit="1" customWidth="1"/>
    <col min="2829" max="2829" width="15.5703125" style="27" bestFit="1" customWidth="1"/>
    <col min="2830" max="2830" width="14.7109375" style="27" bestFit="1" customWidth="1"/>
    <col min="2831" max="2831" width="16" style="27" bestFit="1" customWidth="1"/>
    <col min="2832" max="2832" width="14.7109375" style="27" bestFit="1" customWidth="1"/>
    <col min="2833" max="2833" width="16" style="27" bestFit="1" customWidth="1"/>
    <col min="2834" max="2834" width="12.7109375" style="27" bestFit="1" customWidth="1"/>
    <col min="2835" max="2835" width="14.7109375" style="27" bestFit="1" customWidth="1"/>
    <col min="2836" max="3073" width="9.28515625" style="27"/>
    <col min="3074" max="3074" width="6.28515625" style="27" customWidth="1"/>
    <col min="3075" max="3075" width="4.42578125" style="27" customWidth="1"/>
    <col min="3076" max="3076" width="38.42578125" style="27" customWidth="1"/>
    <col min="3077" max="3078" width="0" style="27" hidden="1" customWidth="1"/>
    <col min="3079" max="3079" width="28.28515625" style="27" customWidth="1"/>
    <col min="3080" max="3080" width="19.28515625" style="27" bestFit="1" customWidth="1"/>
    <col min="3081" max="3081" width="18" style="27" bestFit="1" customWidth="1"/>
    <col min="3082" max="3082" width="16.28515625" style="27" bestFit="1" customWidth="1"/>
    <col min="3083" max="3083" width="16.5703125" style="27" bestFit="1" customWidth="1"/>
    <col min="3084" max="3084" width="16.42578125" style="27" bestFit="1" customWidth="1"/>
    <col min="3085" max="3085" width="15.5703125" style="27" bestFit="1" customWidth="1"/>
    <col min="3086" max="3086" width="14.7109375" style="27" bestFit="1" customWidth="1"/>
    <col min="3087" max="3087" width="16" style="27" bestFit="1" customWidth="1"/>
    <col min="3088" max="3088" width="14.7109375" style="27" bestFit="1" customWidth="1"/>
    <col min="3089" max="3089" width="16" style="27" bestFit="1" customWidth="1"/>
    <col min="3090" max="3090" width="12.7109375" style="27" bestFit="1" customWidth="1"/>
    <col min="3091" max="3091" width="14.7109375" style="27" bestFit="1" customWidth="1"/>
    <col min="3092" max="3329" width="9.28515625" style="27"/>
    <col min="3330" max="3330" width="6.28515625" style="27" customWidth="1"/>
    <col min="3331" max="3331" width="4.42578125" style="27" customWidth="1"/>
    <col min="3332" max="3332" width="38.42578125" style="27" customWidth="1"/>
    <col min="3333" max="3334" width="0" style="27" hidden="1" customWidth="1"/>
    <col min="3335" max="3335" width="28.28515625" style="27" customWidth="1"/>
    <col min="3336" max="3336" width="19.28515625" style="27" bestFit="1" customWidth="1"/>
    <col min="3337" max="3337" width="18" style="27" bestFit="1" customWidth="1"/>
    <col min="3338" max="3338" width="16.28515625" style="27" bestFit="1" customWidth="1"/>
    <col min="3339" max="3339" width="16.5703125" style="27" bestFit="1" customWidth="1"/>
    <col min="3340" max="3340" width="16.42578125" style="27" bestFit="1" customWidth="1"/>
    <col min="3341" max="3341" width="15.5703125" style="27" bestFit="1" customWidth="1"/>
    <col min="3342" max="3342" width="14.7109375" style="27" bestFit="1" customWidth="1"/>
    <col min="3343" max="3343" width="16" style="27" bestFit="1" customWidth="1"/>
    <col min="3344" max="3344" width="14.7109375" style="27" bestFit="1" customWidth="1"/>
    <col min="3345" max="3345" width="16" style="27" bestFit="1" customWidth="1"/>
    <col min="3346" max="3346" width="12.7109375" style="27" bestFit="1" customWidth="1"/>
    <col min="3347" max="3347" width="14.7109375" style="27" bestFit="1" customWidth="1"/>
    <col min="3348" max="3585" width="9.28515625" style="27"/>
    <col min="3586" max="3586" width="6.28515625" style="27" customWidth="1"/>
    <col min="3587" max="3587" width="4.42578125" style="27" customWidth="1"/>
    <col min="3588" max="3588" width="38.42578125" style="27" customWidth="1"/>
    <col min="3589" max="3590" width="0" style="27" hidden="1" customWidth="1"/>
    <col min="3591" max="3591" width="28.28515625" style="27" customWidth="1"/>
    <col min="3592" max="3592" width="19.28515625" style="27" bestFit="1" customWidth="1"/>
    <col min="3593" max="3593" width="18" style="27" bestFit="1" customWidth="1"/>
    <col min="3594" max="3594" width="16.28515625" style="27" bestFit="1" customWidth="1"/>
    <col min="3595" max="3595" width="16.5703125" style="27" bestFit="1" customWidth="1"/>
    <col min="3596" max="3596" width="16.42578125" style="27" bestFit="1" customWidth="1"/>
    <col min="3597" max="3597" width="15.5703125" style="27" bestFit="1" customWidth="1"/>
    <col min="3598" max="3598" width="14.7109375" style="27" bestFit="1" customWidth="1"/>
    <col min="3599" max="3599" width="16" style="27" bestFit="1" customWidth="1"/>
    <col min="3600" max="3600" width="14.7109375" style="27" bestFit="1" customWidth="1"/>
    <col min="3601" max="3601" width="16" style="27" bestFit="1" customWidth="1"/>
    <col min="3602" max="3602" width="12.7109375" style="27" bestFit="1" customWidth="1"/>
    <col min="3603" max="3603" width="14.7109375" style="27" bestFit="1" customWidth="1"/>
    <col min="3604" max="3841" width="9.28515625" style="27"/>
    <col min="3842" max="3842" width="6.28515625" style="27" customWidth="1"/>
    <col min="3843" max="3843" width="4.42578125" style="27" customWidth="1"/>
    <col min="3844" max="3844" width="38.42578125" style="27" customWidth="1"/>
    <col min="3845" max="3846" width="0" style="27" hidden="1" customWidth="1"/>
    <col min="3847" max="3847" width="28.28515625" style="27" customWidth="1"/>
    <col min="3848" max="3848" width="19.28515625" style="27" bestFit="1" customWidth="1"/>
    <col min="3849" max="3849" width="18" style="27" bestFit="1" customWidth="1"/>
    <col min="3850" max="3850" width="16.28515625" style="27" bestFit="1" customWidth="1"/>
    <col min="3851" max="3851" width="16.5703125" style="27" bestFit="1" customWidth="1"/>
    <col min="3852" max="3852" width="16.42578125" style="27" bestFit="1" customWidth="1"/>
    <col min="3853" max="3853" width="15.5703125" style="27" bestFit="1" customWidth="1"/>
    <col min="3854" max="3854" width="14.7109375" style="27" bestFit="1" customWidth="1"/>
    <col min="3855" max="3855" width="16" style="27" bestFit="1" customWidth="1"/>
    <col min="3856" max="3856" width="14.7109375" style="27" bestFit="1" customWidth="1"/>
    <col min="3857" max="3857" width="16" style="27" bestFit="1" customWidth="1"/>
    <col min="3858" max="3858" width="12.7109375" style="27" bestFit="1" customWidth="1"/>
    <col min="3859" max="3859" width="14.7109375" style="27" bestFit="1" customWidth="1"/>
    <col min="3860" max="4097" width="9.28515625" style="27"/>
    <col min="4098" max="4098" width="6.28515625" style="27" customWidth="1"/>
    <col min="4099" max="4099" width="4.42578125" style="27" customWidth="1"/>
    <col min="4100" max="4100" width="38.42578125" style="27" customWidth="1"/>
    <col min="4101" max="4102" width="0" style="27" hidden="1" customWidth="1"/>
    <col min="4103" max="4103" width="28.28515625" style="27" customWidth="1"/>
    <col min="4104" max="4104" width="19.28515625" style="27" bestFit="1" customWidth="1"/>
    <col min="4105" max="4105" width="18" style="27" bestFit="1" customWidth="1"/>
    <col min="4106" max="4106" width="16.28515625" style="27" bestFit="1" customWidth="1"/>
    <col min="4107" max="4107" width="16.5703125" style="27" bestFit="1" customWidth="1"/>
    <col min="4108" max="4108" width="16.42578125" style="27" bestFit="1" customWidth="1"/>
    <col min="4109" max="4109" width="15.5703125" style="27" bestFit="1" customWidth="1"/>
    <col min="4110" max="4110" width="14.7109375" style="27" bestFit="1" customWidth="1"/>
    <col min="4111" max="4111" width="16" style="27" bestFit="1" customWidth="1"/>
    <col min="4112" max="4112" width="14.7109375" style="27" bestFit="1" customWidth="1"/>
    <col min="4113" max="4113" width="16" style="27" bestFit="1" customWidth="1"/>
    <col min="4114" max="4114" width="12.7109375" style="27" bestFit="1" customWidth="1"/>
    <col min="4115" max="4115" width="14.7109375" style="27" bestFit="1" customWidth="1"/>
    <col min="4116" max="4353" width="9.28515625" style="27"/>
    <col min="4354" max="4354" width="6.28515625" style="27" customWidth="1"/>
    <col min="4355" max="4355" width="4.42578125" style="27" customWidth="1"/>
    <col min="4356" max="4356" width="38.42578125" style="27" customWidth="1"/>
    <col min="4357" max="4358" width="0" style="27" hidden="1" customWidth="1"/>
    <col min="4359" max="4359" width="28.28515625" style="27" customWidth="1"/>
    <col min="4360" max="4360" width="19.28515625" style="27" bestFit="1" customWidth="1"/>
    <col min="4361" max="4361" width="18" style="27" bestFit="1" customWidth="1"/>
    <col min="4362" max="4362" width="16.28515625" style="27" bestFit="1" customWidth="1"/>
    <col min="4363" max="4363" width="16.5703125" style="27" bestFit="1" customWidth="1"/>
    <col min="4364" max="4364" width="16.42578125" style="27" bestFit="1" customWidth="1"/>
    <col min="4365" max="4365" width="15.5703125" style="27" bestFit="1" customWidth="1"/>
    <col min="4366" max="4366" width="14.7109375" style="27" bestFit="1" customWidth="1"/>
    <col min="4367" max="4367" width="16" style="27" bestFit="1" customWidth="1"/>
    <col min="4368" max="4368" width="14.7109375" style="27" bestFit="1" customWidth="1"/>
    <col min="4369" max="4369" width="16" style="27" bestFit="1" customWidth="1"/>
    <col min="4370" max="4370" width="12.7109375" style="27" bestFit="1" customWidth="1"/>
    <col min="4371" max="4371" width="14.7109375" style="27" bestFit="1" customWidth="1"/>
    <col min="4372" max="4609" width="9.28515625" style="27"/>
    <col min="4610" max="4610" width="6.28515625" style="27" customWidth="1"/>
    <col min="4611" max="4611" width="4.42578125" style="27" customWidth="1"/>
    <col min="4612" max="4612" width="38.42578125" style="27" customWidth="1"/>
    <col min="4613" max="4614" width="0" style="27" hidden="1" customWidth="1"/>
    <col min="4615" max="4615" width="28.28515625" style="27" customWidth="1"/>
    <col min="4616" max="4616" width="19.28515625" style="27" bestFit="1" customWidth="1"/>
    <col min="4617" max="4617" width="18" style="27" bestFit="1" customWidth="1"/>
    <col min="4618" max="4618" width="16.28515625" style="27" bestFit="1" customWidth="1"/>
    <col min="4619" max="4619" width="16.5703125" style="27" bestFit="1" customWidth="1"/>
    <col min="4620" max="4620" width="16.42578125" style="27" bestFit="1" customWidth="1"/>
    <col min="4621" max="4621" width="15.5703125" style="27" bestFit="1" customWidth="1"/>
    <col min="4622" max="4622" width="14.7109375" style="27" bestFit="1" customWidth="1"/>
    <col min="4623" max="4623" width="16" style="27" bestFit="1" customWidth="1"/>
    <col min="4624" max="4624" width="14.7109375" style="27" bestFit="1" customWidth="1"/>
    <col min="4625" max="4625" width="16" style="27" bestFit="1" customWidth="1"/>
    <col min="4626" max="4626" width="12.7109375" style="27" bestFit="1" customWidth="1"/>
    <col min="4627" max="4627" width="14.7109375" style="27" bestFit="1" customWidth="1"/>
    <col min="4628" max="4865" width="9.28515625" style="27"/>
    <col min="4866" max="4866" width="6.28515625" style="27" customWidth="1"/>
    <col min="4867" max="4867" width="4.42578125" style="27" customWidth="1"/>
    <col min="4868" max="4868" width="38.42578125" style="27" customWidth="1"/>
    <col min="4869" max="4870" width="0" style="27" hidden="1" customWidth="1"/>
    <col min="4871" max="4871" width="28.28515625" style="27" customWidth="1"/>
    <col min="4872" max="4872" width="19.28515625" style="27" bestFit="1" customWidth="1"/>
    <col min="4873" max="4873" width="18" style="27" bestFit="1" customWidth="1"/>
    <col min="4874" max="4874" width="16.28515625" style="27" bestFit="1" customWidth="1"/>
    <col min="4875" max="4875" width="16.5703125" style="27" bestFit="1" customWidth="1"/>
    <col min="4876" max="4876" width="16.42578125" style="27" bestFit="1" customWidth="1"/>
    <col min="4877" max="4877" width="15.5703125" style="27" bestFit="1" customWidth="1"/>
    <col min="4878" max="4878" width="14.7109375" style="27" bestFit="1" customWidth="1"/>
    <col min="4879" max="4879" width="16" style="27" bestFit="1" customWidth="1"/>
    <col min="4880" max="4880" width="14.7109375" style="27" bestFit="1" customWidth="1"/>
    <col min="4881" max="4881" width="16" style="27" bestFit="1" customWidth="1"/>
    <col min="4882" max="4882" width="12.7109375" style="27" bestFit="1" customWidth="1"/>
    <col min="4883" max="4883" width="14.7109375" style="27" bestFit="1" customWidth="1"/>
    <col min="4884" max="5121" width="9.28515625" style="27"/>
    <col min="5122" max="5122" width="6.28515625" style="27" customWidth="1"/>
    <col min="5123" max="5123" width="4.42578125" style="27" customWidth="1"/>
    <col min="5124" max="5124" width="38.42578125" style="27" customWidth="1"/>
    <col min="5125" max="5126" width="0" style="27" hidden="1" customWidth="1"/>
    <col min="5127" max="5127" width="28.28515625" style="27" customWidth="1"/>
    <col min="5128" max="5128" width="19.28515625" style="27" bestFit="1" customWidth="1"/>
    <col min="5129" max="5129" width="18" style="27" bestFit="1" customWidth="1"/>
    <col min="5130" max="5130" width="16.28515625" style="27" bestFit="1" customWidth="1"/>
    <col min="5131" max="5131" width="16.5703125" style="27" bestFit="1" customWidth="1"/>
    <col min="5132" max="5132" width="16.42578125" style="27" bestFit="1" customWidth="1"/>
    <col min="5133" max="5133" width="15.5703125" style="27" bestFit="1" customWidth="1"/>
    <col min="5134" max="5134" width="14.7109375" style="27" bestFit="1" customWidth="1"/>
    <col min="5135" max="5135" width="16" style="27" bestFit="1" customWidth="1"/>
    <col min="5136" max="5136" width="14.7109375" style="27" bestFit="1" customWidth="1"/>
    <col min="5137" max="5137" width="16" style="27" bestFit="1" customWidth="1"/>
    <col min="5138" max="5138" width="12.7109375" style="27" bestFit="1" customWidth="1"/>
    <col min="5139" max="5139" width="14.7109375" style="27" bestFit="1" customWidth="1"/>
    <col min="5140" max="5377" width="9.28515625" style="27"/>
    <col min="5378" max="5378" width="6.28515625" style="27" customWidth="1"/>
    <col min="5379" max="5379" width="4.42578125" style="27" customWidth="1"/>
    <col min="5380" max="5380" width="38.42578125" style="27" customWidth="1"/>
    <col min="5381" max="5382" width="0" style="27" hidden="1" customWidth="1"/>
    <col min="5383" max="5383" width="28.28515625" style="27" customWidth="1"/>
    <col min="5384" max="5384" width="19.28515625" style="27" bestFit="1" customWidth="1"/>
    <col min="5385" max="5385" width="18" style="27" bestFit="1" customWidth="1"/>
    <col min="5386" max="5386" width="16.28515625" style="27" bestFit="1" customWidth="1"/>
    <col min="5387" max="5387" width="16.5703125" style="27" bestFit="1" customWidth="1"/>
    <col min="5388" max="5388" width="16.42578125" style="27" bestFit="1" customWidth="1"/>
    <col min="5389" max="5389" width="15.5703125" style="27" bestFit="1" customWidth="1"/>
    <col min="5390" max="5390" width="14.7109375" style="27" bestFit="1" customWidth="1"/>
    <col min="5391" max="5391" width="16" style="27" bestFit="1" customWidth="1"/>
    <col min="5392" max="5392" width="14.7109375" style="27" bestFit="1" customWidth="1"/>
    <col min="5393" max="5393" width="16" style="27" bestFit="1" customWidth="1"/>
    <col min="5394" max="5394" width="12.7109375" style="27" bestFit="1" customWidth="1"/>
    <col min="5395" max="5395" width="14.7109375" style="27" bestFit="1" customWidth="1"/>
    <col min="5396" max="5633" width="9.28515625" style="27"/>
    <col min="5634" max="5634" width="6.28515625" style="27" customWidth="1"/>
    <col min="5635" max="5635" width="4.42578125" style="27" customWidth="1"/>
    <col min="5636" max="5636" width="38.42578125" style="27" customWidth="1"/>
    <col min="5637" max="5638" width="0" style="27" hidden="1" customWidth="1"/>
    <col min="5639" max="5639" width="28.28515625" style="27" customWidth="1"/>
    <col min="5640" max="5640" width="19.28515625" style="27" bestFit="1" customWidth="1"/>
    <col min="5641" max="5641" width="18" style="27" bestFit="1" customWidth="1"/>
    <col min="5642" max="5642" width="16.28515625" style="27" bestFit="1" customWidth="1"/>
    <col min="5643" max="5643" width="16.5703125" style="27" bestFit="1" customWidth="1"/>
    <col min="5644" max="5644" width="16.42578125" style="27" bestFit="1" customWidth="1"/>
    <col min="5645" max="5645" width="15.5703125" style="27" bestFit="1" customWidth="1"/>
    <col min="5646" max="5646" width="14.7109375" style="27" bestFit="1" customWidth="1"/>
    <col min="5647" max="5647" width="16" style="27" bestFit="1" customWidth="1"/>
    <col min="5648" max="5648" width="14.7109375" style="27" bestFit="1" customWidth="1"/>
    <col min="5649" max="5649" width="16" style="27" bestFit="1" customWidth="1"/>
    <col min="5650" max="5650" width="12.7109375" style="27" bestFit="1" customWidth="1"/>
    <col min="5651" max="5651" width="14.7109375" style="27" bestFit="1" customWidth="1"/>
    <col min="5652" max="5889" width="9.28515625" style="27"/>
    <col min="5890" max="5890" width="6.28515625" style="27" customWidth="1"/>
    <col min="5891" max="5891" width="4.42578125" style="27" customWidth="1"/>
    <col min="5892" max="5892" width="38.42578125" style="27" customWidth="1"/>
    <col min="5893" max="5894" width="0" style="27" hidden="1" customWidth="1"/>
    <col min="5895" max="5895" width="28.28515625" style="27" customWidth="1"/>
    <col min="5896" max="5896" width="19.28515625" style="27" bestFit="1" customWidth="1"/>
    <col min="5897" max="5897" width="18" style="27" bestFit="1" customWidth="1"/>
    <col min="5898" max="5898" width="16.28515625" style="27" bestFit="1" customWidth="1"/>
    <col min="5899" max="5899" width="16.5703125" style="27" bestFit="1" customWidth="1"/>
    <col min="5900" max="5900" width="16.42578125" style="27" bestFit="1" customWidth="1"/>
    <col min="5901" max="5901" width="15.5703125" style="27" bestFit="1" customWidth="1"/>
    <col min="5902" max="5902" width="14.7109375" style="27" bestFit="1" customWidth="1"/>
    <col min="5903" max="5903" width="16" style="27" bestFit="1" customWidth="1"/>
    <col min="5904" max="5904" width="14.7109375" style="27" bestFit="1" customWidth="1"/>
    <col min="5905" max="5905" width="16" style="27" bestFit="1" customWidth="1"/>
    <col min="5906" max="5906" width="12.7109375" style="27" bestFit="1" customWidth="1"/>
    <col min="5907" max="5907" width="14.7109375" style="27" bestFit="1" customWidth="1"/>
    <col min="5908" max="6145" width="9.28515625" style="27"/>
    <col min="6146" max="6146" width="6.28515625" style="27" customWidth="1"/>
    <col min="6147" max="6147" width="4.42578125" style="27" customWidth="1"/>
    <col min="6148" max="6148" width="38.42578125" style="27" customWidth="1"/>
    <col min="6149" max="6150" width="0" style="27" hidden="1" customWidth="1"/>
    <col min="6151" max="6151" width="28.28515625" style="27" customWidth="1"/>
    <col min="6152" max="6152" width="19.28515625" style="27" bestFit="1" customWidth="1"/>
    <col min="6153" max="6153" width="18" style="27" bestFit="1" customWidth="1"/>
    <col min="6154" max="6154" width="16.28515625" style="27" bestFit="1" customWidth="1"/>
    <col min="6155" max="6155" width="16.5703125" style="27" bestFit="1" customWidth="1"/>
    <col min="6156" max="6156" width="16.42578125" style="27" bestFit="1" customWidth="1"/>
    <col min="6157" max="6157" width="15.5703125" style="27" bestFit="1" customWidth="1"/>
    <col min="6158" max="6158" width="14.7109375" style="27" bestFit="1" customWidth="1"/>
    <col min="6159" max="6159" width="16" style="27" bestFit="1" customWidth="1"/>
    <col min="6160" max="6160" width="14.7109375" style="27" bestFit="1" customWidth="1"/>
    <col min="6161" max="6161" width="16" style="27" bestFit="1" customWidth="1"/>
    <col min="6162" max="6162" width="12.7109375" style="27" bestFit="1" customWidth="1"/>
    <col min="6163" max="6163" width="14.7109375" style="27" bestFit="1" customWidth="1"/>
    <col min="6164" max="6401" width="9.28515625" style="27"/>
    <col min="6402" max="6402" width="6.28515625" style="27" customWidth="1"/>
    <col min="6403" max="6403" width="4.42578125" style="27" customWidth="1"/>
    <col min="6404" max="6404" width="38.42578125" style="27" customWidth="1"/>
    <col min="6405" max="6406" width="0" style="27" hidden="1" customWidth="1"/>
    <col min="6407" max="6407" width="28.28515625" style="27" customWidth="1"/>
    <col min="6408" max="6408" width="19.28515625" style="27" bestFit="1" customWidth="1"/>
    <col min="6409" max="6409" width="18" style="27" bestFit="1" customWidth="1"/>
    <col min="6410" max="6410" width="16.28515625" style="27" bestFit="1" customWidth="1"/>
    <col min="6411" max="6411" width="16.5703125" style="27" bestFit="1" customWidth="1"/>
    <col min="6412" max="6412" width="16.42578125" style="27" bestFit="1" customWidth="1"/>
    <col min="6413" max="6413" width="15.5703125" style="27" bestFit="1" customWidth="1"/>
    <col min="6414" max="6414" width="14.7109375" style="27" bestFit="1" customWidth="1"/>
    <col min="6415" max="6415" width="16" style="27" bestFit="1" customWidth="1"/>
    <col min="6416" max="6416" width="14.7109375" style="27" bestFit="1" customWidth="1"/>
    <col min="6417" max="6417" width="16" style="27" bestFit="1" customWidth="1"/>
    <col min="6418" max="6418" width="12.7109375" style="27" bestFit="1" customWidth="1"/>
    <col min="6419" max="6419" width="14.7109375" style="27" bestFit="1" customWidth="1"/>
    <col min="6420" max="6657" width="9.28515625" style="27"/>
    <col min="6658" max="6658" width="6.28515625" style="27" customWidth="1"/>
    <col min="6659" max="6659" width="4.42578125" style="27" customWidth="1"/>
    <col min="6660" max="6660" width="38.42578125" style="27" customWidth="1"/>
    <col min="6661" max="6662" width="0" style="27" hidden="1" customWidth="1"/>
    <col min="6663" max="6663" width="28.28515625" style="27" customWidth="1"/>
    <col min="6664" max="6664" width="19.28515625" style="27" bestFit="1" customWidth="1"/>
    <col min="6665" max="6665" width="18" style="27" bestFit="1" customWidth="1"/>
    <col min="6666" max="6666" width="16.28515625" style="27" bestFit="1" customWidth="1"/>
    <col min="6667" max="6667" width="16.5703125" style="27" bestFit="1" customWidth="1"/>
    <col min="6668" max="6668" width="16.42578125" style="27" bestFit="1" customWidth="1"/>
    <col min="6669" max="6669" width="15.5703125" style="27" bestFit="1" customWidth="1"/>
    <col min="6670" max="6670" width="14.7109375" style="27" bestFit="1" customWidth="1"/>
    <col min="6671" max="6671" width="16" style="27" bestFit="1" customWidth="1"/>
    <col min="6672" max="6672" width="14.7109375" style="27" bestFit="1" customWidth="1"/>
    <col min="6673" max="6673" width="16" style="27" bestFit="1" customWidth="1"/>
    <col min="6674" max="6674" width="12.7109375" style="27" bestFit="1" customWidth="1"/>
    <col min="6675" max="6675" width="14.7109375" style="27" bestFit="1" customWidth="1"/>
    <col min="6676" max="6913" width="9.28515625" style="27"/>
    <col min="6914" max="6914" width="6.28515625" style="27" customWidth="1"/>
    <col min="6915" max="6915" width="4.42578125" style="27" customWidth="1"/>
    <col min="6916" max="6916" width="38.42578125" style="27" customWidth="1"/>
    <col min="6917" max="6918" width="0" style="27" hidden="1" customWidth="1"/>
    <col min="6919" max="6919" width="28.28515625" style="27" customWidth="1"/>
    <col min="6920" max="6920" width="19.28515625" style="27" bestFit="1" customWidth="1"/>
    <col min="6921" max="6921" width="18" style="27" bestFit="1" customWidth="1"/>
    <col min="6922" max="6922" width="16.28515625" style="27" bestFit="1" customWidth="1"/>
    <col min="6923" max="6923" width="16.5703125" style="27" bestFit="1" customWidth="1"/>
    <col min="6924" max="6924" width="16.42578125" style="27" bestFit="1" customWidth="1"/>
    <col min="6925" max="6925" width="15.5703125" style="27" bestFit="1" customWidth="1"/>
    <col min="6926" max="6926" width="14.7109375" style="27" bestFit="1" customWidth="1"/>
    <col min="6927" max="6927" width="16" style="27" bestFit="1" customWidth="1"/>
    <col min="6928" max="6928" width="14.7109375" style="27" bestFit="1" customWidth="1"/>
    <col min="6929" max="6929" width="16" style="27" bestFit="1" customWidth="1"/>
    <col min="6930" max="6930" width="12.7109375" style="27" bestFit="1" customWidth="1"/>
    <col min="6931" max="6931" width="14.7109375" style="27" bestFit="1" customWidth="1"/>
    <col min="6932" max="7169" width="9.28515625" style="27"/>
    <col min="7170" max="7170" width="6.28515625" style="27" customWidth="1"/>
    <col min="7171" max="7171" width="4.42578125" style="27" customWidth="1"/>
    <col min="7172" max="7172" width="38.42578125" style="27" customWidth="1"/>
    <col min="7173" max="7174" width="0" style="27" hidden="1" customWidth="1"/>
    <col min="7175" max="7175" width="28.28515625" style="27" customWidth="1"/>
    <col min="7176" max="7176" width="19.28515625" style="27" bestFit="1" customWidth="1"/>
    <col min="7177" max="7177" width="18" style="27" bestFit="1" customWidth="1"/>
    <col min="7178" max="7178" width="16.28515625" style="27" bestFit="1" customWidth="1"/>
    <col min="7179" max="7179" width="16.5703125" style="27" bestFit="1" customWidth="1"/>
    <col min="7180" max="7180" width="16.42578125" style="27" bestFit="1" customWidth="1"/>
    <col min="7181" max="7181" width="15.5703125" style="27" bestFit="1" customWidth="1"/>
    <col min="7182" max="7182" width="14.7109375" style="27" bestFit="1" customWidth="1"/>
    <col min="7183" max="7183" width="16" style="27" bestFit="1" customWidth="1"/>
    <col min="7184" max="7184" width="14.7109375" style="27" bestFit="1" customWidth="1"/>
    <col min="7185" max="7185" width="16" style="27" bestFit="1" customWidth="1"/>
    <col min="7186" max="7186" width="12.7109375" style="27" bestFit="1" customWidth="1"/>
    <col min="7187" max="7187" width="14.7109375" style="27" bestFit="1" customWidth="1"/>
    <col min="7188" max="7425" width="9.28515625" style="27"/>
    <col min="7426" max="7426" width="6.28515625" style="27" customWidth="1"/>
    <col min="7427" max="7427" width="4.42578125" style="27" customWidth="1"/>
    <col min="7428" max="7428" width="38.42578125" style="27" customWidth="1"/>
    <col min="7429" max="7430" width="0" style="27" hidden="1" customWidth="1"/>
    <col min="7431" max="7431" width="28.28515625" style="27" customWidth="1"/>
    <col min="7432" max="7432" width="19.28515625" style="27" bestFit="1" customWidth="1"/>
    <col min="7433" max="7433" width="18" style="27" bestFit="1" customWidth="1"/>
    <col min="7434" max="7434" width="16.28515625" style="27" bestFit="1" customWidth="1"/>
    <col min="7435" max="7435" width="16.5703125" style="27" bestFit="1" customWidth="1"/>
    <col min="7436" max="7436" width="16.42578125" style="27" bestFit="1" customWidth="1"/>
    <col min="7437" max="7437" width="15.5703125" style="27" bestFit="1" customWidth="1"/>
    <col min="7438" max="7438" width="14.7109375" style="27" bestFit="1" customWidth="1"/>
    <col min="7439" max="7439" width="16" style="27" bestFit="1" customWidth="1"/>
    <col min="7440" max="7440" width="14.7109375" style="27" bestFit="1" customWidth="1"/>
    <col min="7441" max="7441" width="16" style="27" bestFit="1" customWidth="1"/>
    <col min="7442" max="7442" width="12.7109375" style="27" bestFit="1" customWidth="1"/>
    <col min="7443" max="7443" width="14.7109375" style="27" bestFit="1" customWidth="1"/>
    <col min="7444" max="7681" width="9.28515625" style="27"/>
    <col min="7682" max="7682" width="6.28515625" style="27" customWidth="1"/>
    <col min="7683" max="7683" width="4.42578125" style="27" customWidth="1"/>
    <col min="7684" max="7684" width="38.42578125" style="27" customWidth="1"/>
    <col min="7685" max="7686" width="0" style="27" hidden="1" customWidth="1"/>
    <col min="7687" max="7687" width="28.28515625" style="27" customWidth="1"/>
    <col min="7688" max="7688" width="19.28515625" style="27" bestFit="1" customWidth="1"/>
    <col min="7689" max="7689" width="18" style="27" bestFit="1" customWidth="1"/>
    <col min="7690" max="7690" width="16.28515625" style="27" bestFit="1" customWidth="1"/>
    <col min="7691" max="7691" width="16.5703125" style="27" bestFit="1" customWidth="1"/>
    <col min="7692" max="7692" width="16.42578125" style="27" bestFit="1" customWidth="1"/>
    <col min="7693" max="7693" width="15.5703125" style="27" bestFit="1" customWidth="1"/>
    <col min="7694" max="7694" width="14.7109375" style="27" bestFit="1" customWidth="1"/>
    <col min="7695" max="7695" width="16" style="27" bestFit="1" customWidth="1"/>
    <col min="7696" max="7696" width="14.7109375" style="27" bestFit="1" customWidth="1"/>
    <col min="7697" max="7697" width="16" style="27" bestFit="1" customWidth="1"/>
    <col min="7698" max="7698" width="12.7109375" style="27" bestFit="1" customWidth="1"/>
    <col min="7699" max="7699" width="14.7109375" style="27" bestFit="1" customWidth="1"/>
    <col min="7700" max="7937" width="9.28515625" style="27"/>
    <col min="7938" max="7938" width="6.28515625" style="27" customWidth="1"/>
    <col min="7939" max="7939" width="4.42578125" style="27" customWidth="1"/>
    <col min="7940" max="7940" width="38.42578125" style="27" customWidth="1"/>
    <col min="7941" max="7942" width="0" style="27" hidden="1" customWidth="1"/>
    <col min="7943" max="7943" width="28.28515625" style="27" customWidth="1"/>
    <col min="7944" max="7944" width="19.28515625" style="27" bestFit="1" customWidth="1"/>
    <col min="7945" max="7945" width="18" style="27" bestFit="1" customWidth="1"/>
    <col min="7946" max="7946" width="16.28515625" style="27" bestFit="1" customWidth="1"/>
    <col min="7947" max="7947" width="16.5703125" style="27" bestFit="1" customWidth="1"/>
    <col min="7948" max="7948" width="16.42578125" style="27" bestFit="1" customWidth="1"/>
    <col min="7949" max="7949" width="15.5703125" style="27" bestFit="1" customWidth="1"/>
    <col min="7950" max="7950" width="14.7109375" style="27" bestFit="1" customWidth="1"/>
    <col min="7951" max="7951" width="16" style="27" bestFit="1" customWidth="1"/>
    <col min="7952" max="7952" width="14.7109375" style="27" bestFit="1" customWidth="1"/>
    <col min="7953" max="7953" width="16" style="27" bestFit="1" customWidth="1"/>
    <col min="7954" max="7954" width="12.7109375" style="27" bestFit="1" customWidth="1"/>
    <col min="7955" max="7955" width="14.7109375" style="27" bestFit="1" customWidth="1"/>
    <col min="7956" max="8193" width="9.28515625" style="27"/>
    <col min="8194" max="8194" width="6.28515625" style="27" customWidth="1"/>
    <col min="8195" max="8195" width="4.42578125" style="27" customWidth="1"/>
    <col min="8196" max="8196" width="38.42578125" style="27" customWidth="1"/>
    <col min="8197" max="8198" width="0" style="27" hidden="1" customWidth="1"/>
    <col min="8199" max="8199" width="28.28515625" style="27" customWidth="1"/>
    <col min="8200" max="8200" width="19.28515625" style="27" bestFit="1" customWidth="1"/>
    <col min="8201" max="8201" width="18" style="27" bestFit="1" customWidth="1"/>
    <col min="8202" max="8202" width="16.28515625" style="27" bestFit="1" customWidth="1"/>
    <col min="8203" max="8203" width="16.5703125" style="27" bestFit="1" customWidth="1"/>
    <col min="8204" max="8204" width="16.42578125" style="27" bestFit="1" customWidth="1"/>
    <col min="8205" max="8205" width="15.5703125" style="27" bestFit="1" customWidth="1"/>
    <col min="8206" max="8206" width="14.7109375" style="27" bestFit="1" customWidth="1"/>
    <col min="8207" max="8207" width="16" style="27" bestFit="1" customWidth="1"/>
    <col min="8208" max="8208" width="14.7109375" style="27" bestFit="1" customWidth="1"/>
    <col min="8209" max="8209" width="16" style="27" bestFit="1" customWidth="1"/>
    <col min="8210" max="8210" width="12.7109375" style="27" bestFit="1" customWidth="1"/>
    <col min="8211" max="8211" width="14.7109375" style="27" bestFit="1" customWidth="1"/>
    <col min="8212" max="8449" width="9.28515625" style="27"/>
    <col min="8450" max="8450" width="6.28515625" style="27" customWidth="1"/>
    <col min="8451" max="8451" width="4.42578125" style="27" customWidth="1"/>
    <col min="8452" max="8452" width="38.42578125" style="27" customWidth="1"/>
    <col min="8453" max="8454" width="0" style="27" hidden="1" customWidth="1"/>
    <col min="8455" max="8455" width="28.28515625" style="27" customWidth="1"/>
    <col min="8456" max="8456" width="19.28515625" style="27" bestFit="1" customWidth="1"/>
    <col min="8457" max="8457" width="18" style="27" bestFit="1" customWidth="1"/>
    <col min="8458" max="8458" width="16.28515625" style="27" bestFit="1" customWidth="1"/>
    <col min="8459" max="8459" width="16.5703125" style="27" bestFit="1" customWidth="1"/>
    <col min="8460" max="8460" width="16.42578125" style="27" bestFit="1" customWidth="1"/>
    <col min="8461" max="8461" width="15.5703125" style="27" bestFit="1" customWidth="1"/>
    <col min="8462" max="8462" width="14.7109375" style="27" bestFit="1" customWidth="1"/>
    <col min="8463" max="8463" width="16" style="27" bestFit="1" customWidth="1"/>
    <col min="8464" max="8464" width="14.7109375" style="27" bestFit="1" customWidth="1"/>
    <col min="8465" max="8465" width="16" style="27" bestFit="1" customWidth="1"/>
    <col min="8466" max="8466" width="12.7109375" style="27" bestFit="1" customWidth="1"/>
    <col min="8467" max="8467" width="14.7109375" style="27" bestFit="1" customWidth="1"/>
    <col min="8468" max="8705" width="9.28515625" style="27"/>
    <col min="8706" max="8706" width="6.28515625" style="27" customWidth="1"/>
    <col min="8707" max="8707" width="4.42578125" style="27" customWidth="1"/>
    <col min="8708" max="8708" width="38.42578125" style="27" customWidth="1"/>
    <col min="8709" max="8710" width="0" style="27" hidden="1" customWidth="1"/>
    <col min="8711" max="8711" width="28.28515625" style="27" customWidth="1"/>
    <col min="8712" max="8712" width="19.28515625" style="27" bestFit="1" customWidth="1"/>
    <col min="8713" max="8713" width="18" style="27" bestFit="1" customWidth="1"/>
    <col min="8714" max="8714" width="16.28515625" style="27" bestFit="1" customWidth="1"/>
    <col min="8715" max="8715" width="16.5703125" style="27" bestFit="1" customWidth="1"/>
    <col min="8716" max="8716" width="16.42578125" style="27" bestFit="1" customWidth="1"/>
    <col min="8717" max="8717" width="15.5703125" style="27" bestFit="1" customWidth="1"/>
    <col min="8718" max="8718" width="14.7109375" style="27" bestFit="1" customWidth="1"/>
    <col min="8719" max="8719" width="16" style="27" bestFit="1" customWidth="1"/>
    <col min="8720" max="8720" width="14.7109375" style="27" bestFit="1" customWidth="1"/>
    <col min="8721" max="8721" width="16" style="27" bestFit="1" customWidth="1"/>
    <col min="8722" max="8722" width="12.7109375" style="27" bestFit="1" customWidth="1"/>
    <col min="8723" max="8723" width="14.7109375" style="27" bestFit="1" customWidth="1"/>
    <col min="8724" max="8961" width="9.28515625" style="27"/>
    <col min="8962" max="8962" width="6.28515625" style="27" customWidth="1"/>
    <col min="8963" max="8963" width="4.42578125" style="27" customWidth="1"/>
    <col min="8964" max="8964" width="38.42578125" style="27" customWidth="1"/>
    <col min="8965" max="8966" width="0" style="27" hidden="1" customWidth="1"/>
    <col min="8967" max="8967" width="28.28515625" style="27" customWidth="1"/>
    <col min="8968" max="8968" width="19.28515625" style="27" bestFit="1" customWidth="1"/>
    <col min="8969" max="8969" width="18" style="27" bestFit="1" customWidth="1"/>
    <col min="8970" max="8970" width="16.28515625" style="27" bestFit="1" customWidth="1"/>
    <col min="8971" max="8971" width="16.5703125" style="27" bestFit="1" customWidth="1"/>
    <col min="8972" max="8972" width="16.42578125" style="27" bestFit="1" customWidth="1"/>
    <col min="8973" max="8973" width="15.5703125" style="27" bestFit="1" customWidth="1"/>
    <col min="8974" max="8974" width="14.7109375" style="27" bestFit="1" customWidth="1"/>
    <col min="8975" max="8975" width="16" style="27" bestFit="1" customWidth="1"/>
    <col min="8976" max="8976" width="14.7109375" style="27" bestFit="1" customWidth="1"/>
    <col min="8977" max="8977" width="16" style="27" bestFit="1" customWidth="1"/>
    <col min="8978" max="8978" width="12.7109375" style="27" bestFit="1" customWidth="1"/>
    <col min="8979" max="8979" width="14.7109375" style="27" bestFit="1" customWidth="1"/>
    <col min="8980" max="9217" width="9.28515625" style="27"/>
    <col min="9218" max="9218" width="6.28515625" style="27" customWidth="1"/>
    <col min="9219" max="9219" width="4.42578125" style="27" customWidth="1"/>
    <col min="9220" max="9220" width="38.42578125" style="27" customWidth="1"/>
    <col min="9221" max="9222" width="0" style="27" hidden="1" customWidth="1"/>
    <col min="9223" max="9223" width="28.28515625" style="27" customWidth="1"/>
    <col min="9224" max="9224" width="19.28515625" style="27" bestFit="1" customWidth="1"/>
    <col min="9225" max="9225" width="18" style="27" bestFit="1" customWidth="1"/>
    <col min="9226" max="9226" width="16.28515625" style="27" bestFit="1" customWidth="1"/>
    <col min="9227" max="9227" width="16.5703125" style="27" bestFit="1" customWidth="1"/>
    <col min="9228" max="9228" width="16.42578125" style="27" bestFit="1" customWidth="1"/>
    <col min="9229" max="9229" width="15.5703125" style="27" bestFit="1" customWidth="1"/>
    <col min="9230" max="9230" width="14.7109375" style="27" bestFit="1" customWidth="1"/>
    <col min="9231" max="9231" width="16" style="27" bestFit="1" customWidth="1"/>
    <col min="9232" max="9232" width="14.7109375" style="27" bestFit="1" customWidth="1"/>
    <col min="9233" max="9233" width="16" style="27" bestFit="1" customWidth="1"/>
    <col min="9234" max="9234" width="12.7109375" style="27" bestFit="1" customWidth="1"/>
    <col min="9235" max="9235" width="14.7109375" style="27" bestFit="1" customWidth="1"/>
    <col min="9236" max="9473" width="9.28515625" style="27"/>
    <col min="9474" max="9474" width="6.28515625" style="27" customWidth="1"/>
    <col min="9475" max="9475" width="4.42578125" style="27" customWidth="1"/>
    <col min="9476" max="9476" width="38.42578125" style="27" customWidth="1"/>
    <col min="9477" max="9478" width="0" style="27" hidden="1" customWidth="1"/>
    <col min="9479" max="9479" width="28.28515625" style="27" customWidth="1"/>
    <col min="9480" max="9480" width="19.28515625" style="27" bestFit="1" customWidth="1"/>
    <col min="9481" max="9481" width="18" style="27" bestFit="1" customWidth="1"/>
    <col min="9482" max="9482" width="16.28515625" style="27" bestFit="1" customWidth="1"/>
    <col min="9483" max="9483" width="16.5703125" style="27" bestFit="1" customWidth="1"/>
    <col min="9484" max="9484" width="16.42578125" style="27" bestFit="1" customWidth="1"/>
    <col min="9485" max="9485" width="15.5703125" style="27" bestFit="1" customWidth="1"/>
    <col min="9486" max="9486" width="14.7109375" style="27" bestFit="1" customWidth="1"/>
    <col min="9487" max="9487" width="16" style="27" bestFit="1" customWidth="1"/>
    <col min="9488" max="9488" width="14.7109375" style="27" bestFit="1" customWidth="1"/>
    <col min="9489" max="9489" width="16" style="27" bestFit="1" customWidth="1"/>
    <col min="9490" max="9490" width="12.7109375" style="27" bestFit="1" customWidth="1"/>
    <col min="9491" max="9491" width="14.7109375" style="27" bestFit="1" customWidth="1"/>
    <col min="9492" max="9729" width="9.28515625" style="27"/>
    <col min="9730" max="9730" width="6.28515625" style="27" customWidth="1"/>
    <col min="9731" max="9731" width="4.42578125" style="27" customWidth="1"/>
    <col min="9732" max="9732" width="38.42578125" style="27" customWidth="1"/>
    <col min="9733" max="9734" width="0" style="27" hidden="1" customWidth="1"/>
    <col min="9735" max="9735" width="28.28515625" style="27" customWidth="1"/>
    <col min="9736" max="9736" width="19.28515625" style="27" bestFit="1" customWidth="1"/>
    <col min="9737" max="9737" width="18" style="27" bestFit="1" customWidth="1"/>
    <col min="9738" max="9738" width="16.28515625" style="27" bestFit="1" customWidth="1"/>
    <col min="9739" max="9739" width="16.5703125" style="27" bestFit="1" customWidth="1"/>
    <col min="9740" max="9740" width="16.42578125" style="27" bestFit="1" customWidth="1"/>
    <col min="9741" max="9741" width="15.5703125" style="27" bestFit="1" customWidth="1"/>
    <col min="9742" max="9742" width="14.7109375" style="27" bestFit="1" customWidth="1"/>
    <col min="9743" max="9743" width="16" style="27" bestFit="1" customWidth="1"/>
    <col min="9744" max="9744" width="14.7109375" style="27" bestFit="1" customWidth="1"/>
    <col min="9745" max="9745" width="16" style="27" bestFit="1" customWidth="1"/>
    <col min="9746" max="9746" width="12.7109375" style="27" bestFit="1" customWidth="1"/>
    <col min="9747" max="9747" width="14.7109375" style="27" bestFit="1" customWidth="1"/>
    <col min="9748" max="9985" width="9.28515625" style="27"/>
    <col min="9986" max="9986" width="6.28515625" style="27" customWidth="1"/>
    <col min="9987" max="9987" width="4.42578125" style="27" customWidth="1"/>
    <col min="9988" max="9988" width="38.42578125" style="27" customWidth="1"/>
    <col min="9989" max="9990" width="0" style="27" hidden="1" customWidth="1"/>
    <col min="9991" max="9991" width="28.28515625" style="27" customWidth="1"/>
    <col min="9992" max="9992" width="19.28515625" style="27" bestFit="1" customWidth="1"/>
    <col min="9993" max="9993" width="18" style="27" bestFit="1" customWidth="1"/>
    <col min="9994" max="9994" width="16.28515625" style="27" bestFit="1" customWidth="1"/>
    <col min="9995" max="9995" width="16.5703125" style="27" bestFit="1" customWidth="1"/>
    <col min="9996" max="9996" width="16.42578125" style="27" bestFit="1" customWidth="1"/>
    <col min="9997" max="9997" width="15.5703125" style="27" bestFit="1" customWidth="1"/>
    <col min="9998" max="9998" width="14.7109375" style="27" bestFit="1" customWidth="1"/>
    <col min="9999" max="9999" width="16" style="27" bestFit="1" customWidth="1"/>
    <col min="10000" max="10000" width="14.7109375" style="27" bestFit="1" customWidth="1"/>
    <col min="10001" max="10001" width="16" style="27" bestFit="1" customWidth="1"/>
    <col min="10002" max="10002" width="12.7109375" style="27" bestFit="1" customWidth="1"/>
    <col min="10003" max="10003" width="14.7109375" style="27" bestFit="1" customWidth="1"/>
    <col min="10004" max="10241" width="9.28515625" style="27"/>
    <col min="10242" max="10242" width="6.28515625" style="27" customWidth="1"/>
    <col min="10243" max="10243" width="4.42578125" style="27" customWidth="1"/>
    <col min="10244" max="10244" width="38.42578125" style="27" customWidth="1"/>
    <col min="10245" max="10246" width="0" style="27" hidden="1" customWidth="1"/>
    <col min="10247" max="10247" width="28.28515625" style="27" customWidth="1"/>
    <col min="10248" max="10248" width="19.28515625" style="27" bestFit="1" customWidth="1"/>
    <col min="10249" max="10249" width="18" style="27" bestFit="1" customWidth="1"/>
    <col min="10250" max="10250" width="16.28515625" style="27" bestFit="1" customWidth="1"/>
    <col min="10251" max="10251" width="16.5703125" style="27" bestFit="1" customWidth="1"/>
    <col min="10252" max="10252" width="16.42578125" style="27" bestFit="1" customWidth="1"/>
    <col min="10253" max="10253" width="15.5703125" style="27" bestFit="1" customWidth="1"/>
    <col min="10254" max="10254" width="14.7109375" style="27" bestFit="1" customWidth="1"/>
    <col min="10255" max="10255" width="16" style="27" bestFit="1" customWidth="1"/>
    <col min="10256" max="10256" width="14.7109375" style="27" bestFit="1" customWidth="1"/>
    <col min="10257" max="10257" width="16" style="27" bestFit="1" customWidth="1"/>
    <col min="10258" max="10258" width="12.7109375" style="27" bestFit="1" customWidth="1"/>
    <col min="10259" max="10259" width="14.7109375" style="27" bestFit="1" customWidth="1"/>
    <col min="10260" max="10497" width="9.28515625" style="27"/>
    <col min="10498" max="10498" width="6.28515625" style="27" customWidth="1"/>
    <col min="10499" max="10499" width="4.42578125" style="27" customWidth="1"/>
    <col min="10500" max="10500" width="38.42578125" style="27" customWidth="1"/>
    <col min="10501" max="10502" width="0" style="27" hidden="1" customWidth="1"/>
    <col min="10503" max="10503" width="28.28515625" style="27" customWidth="1"/>
    <col min="10504" max="10504" width="19.28515625" style="27" bestFit="1" customWidth="1"/>
    <col min="10505" max="10505" width="18" style="27" bestFit="1" customWidth="1"/>
    <col min="10506" max="10506" width="16.28515625" style="27" bestFit="1" customWidth="1"/>
    <col min="10507" max="10507" width="16.5703125" style="27" bestFit="1" customWidth="1"/>
    <col min="10508" max="10508" width="16.42578125" style="27" bestFit="1" customWidth="1"/>
    <col min="10509" max="10509" width="15.5703125" style="27" bestFit="1" customWidth="1"/>
    <col min="10510" max="10510" width="14.7109375" style="27" bestFit="1" customWidth="1"/>
    <col min="10511" max="10511" width="16" style="27" bestFit="1" customWidth="1"/>
    <col min="10512" max="10512" width="14.7109375" style="27" bestFit="1" customWidth="1"/>
    <col min="10513" max="10513" width="16" style="27" bestFit="1" customWidth="1"/>
    <col min="10514" max="10514" width="12.7109375" style="27" bestFit="1" customWidth="1"/>
    <col min="10515" max="10515" width="14.7109375" style="27" bestFit="1" customWidth="1"/>
    <col min="10516" max="10753" width="9.28515625" style="27"/>
    <col min="10754" max="10754" width="6.28515625" style="27" customWidth="1"/>
    <col min="10755" max="10755" width="4.42578125" style="27" customWidth="1"/>
    <col min="10756" max="10756" width="38.42578125" style="27" customWidth="1"/>
    <col min="10757" max="10758" width="0" style="27" hidden="1" customWidth="1"/>
    <col min="10759" max="10759" width="28.28515625" style="27" customWidth="1"/>
    <col min="10760" max="10760" width="19.28515625" style="27" bestFit="1" customWidth="1"/>
    <col min="10761" max="10761" width="18" style="27" bestFit="1" customWidth="1"/>
    <col min="10762" max="10762" width="16.28515625" style="27" bestFit="1" customWidth="1"/>
    <col min="10763" max="10763" width="16.5703125" style="27" bestFit="1" customWidth="1"/>
    <col min="10764" max="10764" width="16.42578125" style="27" bestFit="1" customWidth="1"/>
    <col min="10765" max="10765" width="15.5703125" style="27" bestFit="1" customWidth="1"/>
    <col min="10766" max="10766" width="14.7109375" style="27" bestFit="1" customWidth="1"/>
    <col min="10767" max="10767" width="16" style="27" bestFit="1" customWidth="1"/>
    <col min="10768" max="10768" width="14.7109375" style="27" bestFit="1" customWidth="1"/>
    <col min="10769" max="10769" width="16" style="27" bestFit="1" customWidth="1"/>
    <col min="10770" max="10770" width="12.7109375" style="27" bestFit="1" customWidth="1"/>
    <col min="10771" max="10771" width="14.7109375" style="27" bestFit="1" customWidth="1"/>
    <col min="10772" max="11009" width="9.28515625" style="27"/>
    <col min="11010" max="11010" width="6.28515625" style="27" customWidth="1"/>
    <col min="11011" max="11011" width="4.42578125" style="27" customWidth="1"/>
    <col min="11012" max="11012" width="38.42578125" style="27" customWidth="1"/>
    <col min="11013" max="11014" width="0" style="27" hidden="1" customWidth="1"/>
    <col min="11015" max="11015" width="28.28515625" style="27" customWidth="1"/>
    <col min="11016" max="11016" width="19.28515625" style="27" bestFit="1" customWidth="1"/>
    <col min="11017" max="11017" width="18" style="27" bestFit="1" customWidth="1"/>
    <col min="11018" max="11018" width="16.28515625" style="27" bestFit="1" customWidth="1"/>
    <col min="11019" max="11019" width="16.5703125" style="27" bestFit="1" customWidth="1"/>
    <col min="11020" max="11020" width="16.42578125" style="27" bestFit="1" customWidth="1"/>
    <col min="11021" max="11021" width="15.5703125" style="27" bestFit="1" customWidth="1"/>
    <col min="11022" max="11022" width="14.7109375" style="27" bestFit="1" customWidth="1"/>
    <col min="11023" max="11023" width="16" style="27" bestFit="1" customWidth="1"/>
    <col min="11024" max="11024" width="14.7109375" style="27" bestFit="1" customWidth="1"/>
    <col min="11025" max="11025" width="16" style="27" bestFit="1" customWidth="1"/>
    <col min="11026" max="11026" width="12.7109375" style="27" bestFit="1" customWidth="1"/>
    <col min="11027" max="11027" width="14.7109375" style="27" bestFit="1" customWidth="1"/>
    <col min="11028" max="11265" width="9.28515625" style="27"/>
    <col min="11266" max="11266" width="6.28515625" style="27" customWidth="1"/>
    <col min="11267" max="11267" width="4.42578125" style="27" customWidth="1"/>
    <col min="11268" max="11268" width="38.42578125" style="27" customWidth="1"/>
    <col min="11269" max="11270" width="0" style="27" hidden="1" customWidth="1"/>
    <col min="11271" max="11271" width="28.28515625" style="27" customWidth="1"/>
    <col min="11272" max="11272" width="19.28515625" style="27" bestFit="1" customWidth="1"/>
    <col min="11273" max="11273" width="18" style="27" bestFit="1" customWidth="1"/>
    <col min="11274" max="11274" width="16.28515625" style="27" bestFit="1" customWidth="1"/>
    <col min="11275" max="11275" width="16.5703125" style="27" bestFit="1" customWidth="1"/>
    <col min="11276" max="11276" width="16.42578125" style="27" bestFit="1" customWidth="1"/>
    <col min="11277" max="11277" width="15.5703125" style="27" bestFit="1" customWidth="1"/>
    <col min="11278" max="11278" width="14.7109375" style="27" bestFit="1" customWidth="1"/>
    <col min="11279" max="11279" width="16" style="27" bestFit="1" customWidth="1"/>
    <col min="11280" max="11280" width="14.7109375" style="27" bestFit="1" customWidth="1"/>
    <col min="11281" max="11281" width="16" style="27" bestFit="1" customWidth="1"/>
    <col min="11282" max="11282" width="12.7109375" style="27" bestFit="1" customWidth="1"/>
    <col min="11283" max="11283" width="14.7109375" style="27" bestFit="1" customWidth="1"/>
    <col min="11284" max="11521" width="9.28515625" style="27"/>
    <col min="11522" max="11522" width="6.28515625" style="27" customWidth="1"/>
    <col min="11523" max="11523" width="4.42578125" style="27" customWidth="1"/>
    <col min="11524" max="11524" width="38.42578125" style="27" customWidth="1"/>
    <col min="11525" max="11526" width="0" style="27" hidden="1" customWidth="1"/>
    <col min="11527" max="11527" width="28.28515625" style="27" customWidth="1"/>
    <col min="11528" max="11528" width="19.28515625" style="27" bestFit="1" customWidth="1"/>
    <col min="11529" max="11529" width="18" style="27" bestFit="1" customWidth="1"/>
    <col min="11530" max="11530" width="16.28515625" style="27" bestFit="1" customWidth="1"/>
    <col min="11531" max="11531" width="16.5703125" style="27" bestFit="1" customWidth="1"/>
    <col min="11532" max="11532" width="16.42578125" style="27" bestFit="1" customWidth="1"/>
    <col min="11533" max="11533" width="15.5703125" style="27" bestFit="1" customWidth="1"/>
    <col min="11534" max="11534" width="14.7109375" style="27" bestFit="1" customWidth="1"/>
    <col min="11535" max="11535" width="16" style="27" bestFit="1" customWidth="1"/>
    <col min="11536" max="11536" width="14.7109375" style="27" bestFit="1" customWidth="1"/>
    <col min="11537" max="11537" width="16" style="27" bestFit="1" customWidth="1"/>
    <col min="11538" max="11538" width="12.7109375" style="27" bestFit="1" customWidth="1"/>
    <col min="11539" max="11539" width="14.7109375" style="27" bestFit="1" customWidth="1"/>
    <col min="11540" max="11777" width="9.28515625" style="27"/>
    <col min="11778" max="11778" width="6.28515625" style="27" customWidth="1"/>
    <col min="11779" max="11779" width="4.42578125" style="27" customWidth="1"/>
    <col min="11780" max="11780" width="38.42578125" style="27" customWidth="1"/>
    <col min="11781" max="11782" width="0" style="27" hidden="1" customWidth="1"/>
    <col min="11783" max="11783" width="28.28515625" style="27" customWidth="1"/>
    <col min="11784" max="11784" width="19.28515625" style="27" bestFit="1" customWidth="1"/>
    <col min="11785" max="11785" width="18" style="27" bestFit="1" customWidth="1"/>
    <col min="11786" max="11786" width="16.28515625" style="27" bestFit="1" customWidth="1"/>
    <col min="11787" max="11787" width="16.5703125" style="27" bestFit="1" customWidth="1"/>
    <col min="11788" max="11788" width="16.42578125" style="27" bestFit="1" customWidth="1"/>
    <col min="11789" max="11789" width="15.5703125" style="27" bestFit="1" customWidth="1"/>
    <col min="11790" max="11790" width="14.7109375" style="27" bestFit="1" customWidth="1"/>
    <col min="11791" max="11791" width="16" style="27" bestFit="1" customWidth="1"/>
    <col min="11792" max="11792" width="14.7109375" style="27" bestFit="1" customWidth="1"/>
    <col min="11793" max="11793" width="16" style="27" bestFit="1" customWidth="1"/>
    <col min="11794" max="11794" width="12.7109375" style="27" bestFit="1" customWidth="1"/>
    <col min="11795" max="11795" width="14.7109375" style="27" bestFit="1" customWidth="1"/>
    <col min="11796" max="12033" width="9.28515625" style="27"/>
    <col min="12034" max="12034" width="6.28515625" style="27" customWidth="1"/>
    <col min="12035" max="12035" width="4.42578125" style="27" customWidth="1"/>
    <col min="12036" max="12036" width="38.42578125" style="27" customWidth="1"/>
    <col min="12037" max="12038" width="0" style="27" hidden="1" customWidth="1"/>
    <col min="12039" max="12039" width="28.28515625" style="27" customWidth="1"/>
    <col min="12040" max="12040" width="19.28515625" style="27" bestFit="1" customWidth="1"/>
    <col min="12041" max="12041" width="18" style="27" bestFit="1" customWidth="1"/>
    <col min="12042" max="12042" width="16.28515625" style="27" bestFit="1" customWidth="1"/>
    <col min="12043" max="12043" width="16.5703125" style="27" bestFit="1" customWidth="1"/>
    <col min="12044" max="12044" width="16.42578125" style="27" bestFit="1" customWidth="1"/>
    <col min="12045" max="12045" width="15.5703125" style="27" bestFit="1" customWidth="1"/>
    <col min="12046" max="12046" width="14.7109375" style="27" bestFit="1" customWidth="1"/>
    <col min="12047" max="12047" width="16" style="27" bestFit="1" customWidth="1"/>
    <col min="12048" max="12048" width="14.7109375" style="27" bestFit="1" customWidth="1"/>
    <col min="12049" max="12049" width="16" style="27" bestFit="1" customWidth="1"/>
    <col min="12050" max="12050" width="12.7109375" style="27" bestFit="1" customWidth="1"/>
    <col min="12051" max="12051" width="14.7109375" style="27" bestFit="1" customWidth="1"/>
    <col min="12052" max="12289" width="9.28515625" style="27"/>
    <col min="12290" max="12290" width="6.28515625" style="27" customWidth="1"/>
    <col min="12291" max="12291" width="4.42578125" style="27" customWidth="1"/>
    <col min="12292" max="12292" width="38.42578125" style="27" customWidth="1"/>
    <col min="12293" max="12294" width="0" style="27" hidden="1" customWidth="1"/>
    <col min="12295" max="12295" width="28.28515625" style="27" customWidth="1"/>
    <col min="12296" max="12296" width="19.28515625" style="27" bestFit="1" customWidth="1"/>
    <col min="12297" max="12297" width="18" style="27" bestFit="1" customWidth="1"/>
    <col min="12298" max="12298" width="16.28515625" style="27" bestFit="1" customWidth="1"/>
    <col min="12299" max="12299" width="16.5703125" style="27" bestFit="1" customWidth="1"/>
    <col min="12300" max="12300" width="16.42578125" style="27" bestFit="1" customWidth="1"/>
    <col min="12301" max="12301" width="15.5703125" style="27" bestFit="1" customWidth="1"/>
    <col min="12302" max="12302" width="14.7109375" style="27" bestFit="1" customWidth="1"/>
    <col min="12303" max="12303" width="16" style="27" bestFit="1" customWidth="1"/>
    <col min="12304" max="12304" width="14.7109375" style="27" bestFit="1" customWidth="1"/>
    <col min="12305" max="12305" width="16" style="27" bestFit="1" customWidth="1"/>
    <col min="12306" max="12306" width="12.7109375" style="27" bestFit="1" customWidth="1"/>
    <col min="12307" max="12307" width="14.7109375" style="27" bestFit="1" customWidth="1"/>
    <col min="12308" max="12545" width="9.28515625" style="27"/>
    <col min="12546" max="12546" width="6.28515625" style="27" customWidth="1"/>
    <col min="12547" max="12547" width="4.42578125" style="27" customWidth="1"/>
    <col min="12548" max="12548" width="38.42578125" style="27" customWidth="1"/>
    <col min="12549" max="12550" width="0" style="27" hidden="1" customWidth="1"/>
    <col min="12551" max="12551" width="28.28515625" style="27" customWidth="1"/>
    <col min="12552" max="12552" width="19.28515625" style="27" bestFit="1" customWidth="1"/>
    <col min="12553" max="12553" width="18" style="27" bestFit="1" customWidth="1"/>
    <col min="12554" max="12554" width="16.28515625" style="27" bestFit="1" customWidth="1"/>
    <col min="12555" max="12555" width="16.5703125" style="27" bestFit="1" customWidth="1"/>
    <col min="12556" max="12556" width="16.42578125" style="27" bestFit="1" customWidth="1"/>
    <col min="12557" max="12557" width="15.5703125" style="27" bestFit="1" customWidth="1"/>
    <col min="12558" max="12558" width="14.7109375" style="27" bestFit="1" customWidth="1"/>
    <col min="12559" max="12559" width="16" style="27" bestFit="1" customWidth="1"/>
    <col min="12560" max="12560" width="14.7109375" style="27" bestFit="1" customWidth="1"/>
    <col min="12561" max="12561" width="16" style="27" bestFit="1" customWidth="1"/>
    <col min="12562" max="12562" width="12.7109375" style="27" bestFit="1" customWidth="1"/>
    <col min="12563" max="12563" width="14.7109375" style="27" bestFit="1" customWidth="1"/>
    <col min="12564" max="12801" width="9.28515625" style="27"/>
    <col min="12802" max="12802" width="6.28515625" style="27" customWidth="1"/>
    <col min="12803" max="12803" width="4.42578125" style="27" customWidth="1"/>
    <col min="12804" max="12804" width="38.42578125" style="27" customWidth="1"/>
    <col min="12805" max="12806" width="0" style="27" hidden="1" customWidth="1"/>
    <col min="12807" max="12807" width="28.28515625" style="27" customWidth="1"/>
    <col min="12808" max="12808" width="19.28515625" style="27" bestFit="1" customWidth="1"/>
    <col min="12809" max="12809" width="18" style="27" bestFit="1" customWidth="1"/>
    <col min="12810" max="12810" width="16.28515625" style="27" bestFit="1" customWidth="1"/>
    <col min="12811" max="12811" width="16.5703125" style="27" bestFit="1" customWidth="1"/>
    <col min="12812" max="12812" width="16.42578125" style="27" bestFit="1" customWidth="1"/>
    <col min="12813" max="12813" width="15.5703125" style="27" bestFit="1" customWidth="1"/>
    <col min="12814" max="12814" width="14.7109375" style="27" bestFit="1" customWidth="1"/>
    <col min="12815" max="12815" width="16" style="27" bestFit="1" customWidth="1"/>
    <col min="12816" max="12816" width="14.7109375" style="27" bestFit="1" customWidth="1"/>
    <col min="12817" max="12817" width="16" style="27" bestFit="1" customWidth="1"/>
    <col min="12818" max="12818" width="12.7109375" style="27" bestFit="1" customWidth="1"/>
    <col min="12819" max="12819" width="14.7109375" style="27" bestFit="1" customWidth="1"/>
    <col min="12820" max="13057" width="9.28515625" style="27"/>
    <col min="13058" max="13058" width="6.28515625" style="27" customWidth="1"/>
    <col min="13059" max="13059" width="4.42578125" style="27" customWidth="1"/>
    <col min="13060" max="13060" width="38.42578125" style="27" customWidth="1"/>
    <col min="13061" max="13062" width="0" style="27" hidden="1" customWidth="1"/>
    <col min="13063" max="13063" width="28.28515625" style="27" customWidth="1"/>
    <col min="13064" max="13064" width="19.28515625" style="27" bestFit="1" customWidth="1"/>
    <col min="13065" max="13065" width="18" style="27" bestFit="1" customWidth="1"/>
    <col min="13066" max="13066" width="16.28515625" style="27" bestFit="1" customWidth="1"/>
    <col min="13067" max="13067" width="16.5703125" style="27" bestFit="1" customWidth="1"/>
    <col min="13068" max="13068" width="16.42578125" style="27" bestFit="1" customWidth="1"/>
    <col min="13069" max="13069" width="15.5703125" style="27" bestFit="1" customWidth="1"/>
    <col min="13070" max="13070" width="14.7109375" style="27" bestFit="1" customWidth="1"/>
    <col min="13071" max="13071" width="16" style="27" bestFit="1" customWidth="1"/>
    <col min="13072" max="13072" width="14.7109375" style="27" bestFit="1" customWidth="1"/>
    <col min="13073" max="13073" width="16" style="27" bestFit="1" customWidth="1"/>
    <col min="13074" max="13074" width="12.7109375" style="27" bestFit="1" customWidth="1"/>
    <col min="13075" max="13075" width="14.7109375" style="27" bestFit="1" customWidth="1"/>
    <col min="13076" max="13313" width="9.28515625" style="27"/>
    <col min="13314" max="13314" width="6.28515625" style="27" customWidth="1"/>
    <col min="13315" max="13315" width="4.42578125" style="27" customWidth="1"/>
    <col min="13316" max="13316" width="38.42578125" style="27" customWidth="1"/>
    <col min="13317" max="13318" width="0" style="27" hidden="1" customWidth="1"/>
    <col min="13319" max="13319" width="28.28515625" style="27" customWidth="1"/>
    <col min="13320" max="13320" width="19.28515625" style="27" bestFit="1" customWidth="1"/>
    <col min="13321" max="13321" width="18" style="27" bestFit="1" customWidth="1"/>
    <col min="13322" max="13322" width="16.28515625" style="27" bestFit="1" customWidth="1"/>
    <col min="13323" max="13323" width="16.5703125" style="27" bestFit="1" customWidth="1"/>
    <col min="13324" max="13324" width="16.42578125" style="27" bestFit="1" customWidth="1"/>
    <col min="13325" max="13325" width="15.5703125" style="27" bestFit="1" customWidth="1"/>
    <col min="13326" max="13326" width="14.7109375" style="27" bestFit="1" customWidth="1"/>
    <col min="13327" max="13327" width="16" style="27" bestFit="1" customWidth="1"/>
    <col min="13328" max="13328" width="14.7109375" style="27" bestFit="1" customWidth="1"/>
    <col min="13329" max="13329" width="16" style="27" bestFit="1" customWidth="1"/>
    <col min="13330" max="13330" width="12.7109375" style="27" bestFit="1" customWidth="1"/>
    <col min="13331" max="13331" width="14.7109375" style="27" bestFit="1" customWidth="1"/>
    <col min="13332" max="13569" width="9.28515625" style="27"/>
    <col min="13570" max="13570" width="6.28515625" style="27" customWidth="1"/>
    <col min="13571" max="13571" width="4.42578125" style="27" customWidth="1"/>
    <col min="13572" max="13572" width="38.42578125" style="27" customWidth="1"/>
    <col min="13573" max="13574" width="0" style="27" hidden="1" customWidth="1"/>
    <col min="13575" max="13575" width="28.28515625" style="27" customWidth="1"/>
    <col min="13576" max="13576" width="19.28515625" style="27" bestFit="1" customWidth="1"/>
    <col min="13577" max="13577" width="18" style="27" bestFit="1" customWidth="1"/>
    <col min="13578" max="13578" width="16.28515625" style="27" bestFit="1" customWidth="1"/>
    <col min="13579" max="13579" width="16.5703125" style="27" bestFit="1" customWidth="1"/>
    <col min="13580" max="13580" width="16.42578125" style="27" bestFit="1" customWidth="1"/>
    <col min="13581" max="13581" width="15.5703125" style="27" bestFit="1" customWidth="1"/>
    <col min="13582" max="13582" width="14.7109375" style="27" bestFit="1" customWidth="1"/>
    <col min="13583" max="13583" width="16" style="27" bestFit="1" customWidth="1"/>
    <col min="13584" max="13584" width="14.7109375" style="27" bestFit="1" customWidth="1"/>
    <col min="13585" max="13585" width="16" style="27" bestFit="1" customWidth="1"/>
    <col min="13586" max="13586" width="12.7109375" style="27" bestFit="1" customWidth="1"/>
    <col min="13587" max="13587" width="14.7109375" style="27" bestFit="1" customWidth="1"/>
    <col min="13588" max="13825" width="9.28515625" style="27"/>
    <col min="13826" max="13826" width="6.28515625" style="27" customWidth="1"/>
    <col min="13827" max="13827" width="4.42578125" style="27" customWidth="1"/>
    <col min="13828" max="13828" width="38.42578125" style="27" customWidth="1"/>
    <col min="13829" max="13830" width="0" style="27" hidden="1" customWidth="1"/>
    <col min="13831" max="13831" width="28.28515625" style="27" customWidth="1"/>
    <col min="13832" max="13832" width="19.28515625" style="27" bestFit="1" customWidth="1"/>
    <col min="13833" max="13833" width="18" style="27" bestFit="1" customWidth="1"/>
    <col min="13834" max="13834" width="16.28515625" style="27" bestFit="1" customWidth="1"/>
    <col min="13835" max="13835" width="16.5703125" style="27" bestFit="1" customWidth="1"/>
    <col min="13836" max="13836" width="16.42578125" style="27" bestFit="1" customWidth="1"/>
    <col min="13837" max="13837" width="15.5703125" style="27" bestFit="1" customWidth="1"/>
    <col min="13838" max="13838" width="14.7109375" style="27" bestFit="1" customWidth="1"/>
    <col min="13839" max="13839" width="16" style="27" bestFit="1" customWidth="1"/>
    <col min="13840" max="13840" width="14.7109375" style="27" bestFit="1" customWidth="1"/>
    <col min="13841" max="13841" width="16" style="27" bestFit="1" customWidth="1"/>
    <col min="13842" max="13842" width="12.7109375" style="27" bestFit="1" customWidth="1"/>
    <col min="13843" max="13843" width="14.7109375" style="27" bestFit="1" customWidth="1"/>
    <col min="13844" max="14081" width="9.28515625" style="27"/>
    <col min="14082" max="14082" width="6.28515625" style="27" customWidth="1"/>
    <col min="14083" max="14083" width="4.42578125" style="27" customWidth="1"/>
    <col min="14084" max="14084" width="38.42578125" style="27" customWidth="1"/>
    <col min="14085" max="14086" width="0" style="27" hidden="1" customWidth="1"/>
    <col min="14087" max="14087" width="28.28515625" style="27" customWidth="1"/>
    <col min="14088" max="14088" width="19.28515625" style="27" bestFit="1" customWidth="1"/>
    <col min="14089" max="14089" width="18" style="27" bestFit="1" customWidth="1"/>
    <col min="14090" max="14090" width="16.28515625" style="27" bestFit="1" customWidth="1"/>
    <col min="14091" max="14091" width="16.5703125" style="27" bestFit="1" customWidth="1"/>
    <col min="14092" max="14092" width="16.42578125" style="27" bestFit="1" customWidth="1"/>
    <col min="14093" max="14093" width="15.5703125" style="27" bestFit="1" customWidth="1"/>
    <col min="14094" max="14094" width="14.7109375" style="27" bestFit="1" customWidth="1"/>
    <col min="14095" max="14095" width="16" style="27" bestFit="1" customWidth="1"/>
    <col min="14096" max="14096" width="14.7109375" style="27" bestFit="1" customWidth="1"/>
    <col min="14097" max="14097" width="16" style="27" bestFit="1" customWidth="1"/>
    <col min="14098" max="14098" width="12.7109375" style="27" bestFit="1" customWidth="1"/>
    <col min="14099" max="14099" width="14.7109375" style="27" bestFit="1" customWidth="1"/>
    <col min="14100" max="14337" width="9.28515625" style="27"/>
    <col min="14338" max="14338" width="6.28515625" style="27" customWidth="1"/>
    <col min="14339" max="14339" width="4.42578125" style="27" customWidth="1"/>
    <col min="14340" max="14340" width="38.42578125" style="27" customWidth="1"/>
    <col min="14341" max="14342" width="0" style="27" hidden="1" customWidth="1"/>
    <col min="14343" max="14343" width="28.28515625" style="27" customWidth="1"/>
    <col min="14344" max="14344" width="19.28515625" style="27" bestFit="1" customWidth="1"/>
    <col min="14345" max="14345" width="18" style="27" bestFit="1" customWidth="1"/>
    <col min="14346" max="14346" width="16.28515625" style="27" bestFit="1" customWidth="1"/>
    <col min="14347" max="14347" width="16.5703125" style="27" bestFit="1" customWidth="1"/>
    <col min="14348" max="14348" width="16.42578125" style="27" bestFit="1" customWidth="1"/>
    <col min="14349" max="14349" width="15.5703125" style="27" bestFit="1" customWidth="1"/>
    <col min="14350" max="14350" width="14.7109375" style="27" bestFit="1" customWidth="1"/>
    <col min="14351" max="14351" width="16" style="27" bestFit="1" customWidth="1"/>
    <col min="14352" max="14352" width="14.7109375" style="27" bestFit="1" customWidth="1"/>
    <col min="14353" max="14353" width="16" style="27" bestFit="1" customWidth="1"/>
    <col min="14354" max="14354" width="12.7109375" style="27" bestFit="1" customWidth="1"/>
    <col min="14355" max="14355" width="14.7109375" style="27" bestFit="1" customWidth="1"/>
    <col min="14356" max="14593" width="9.28515625" style="27"/>
    <col min="14594" max="14594" width="6.28515625" style="27" customWidth="1"/>
    <col min="14595" max="14595" width="4.42578125" style="27" customWidth="1"/>
    <col min="14596" max="14596" width="38.42578125" style="27" customWidth="1"/>
    <col min="14597" max="14598" width="0" style="27" hidden="1" customWidth="1"/>
    <col min="14599" max="14599" width="28.28515625" style="27" customWidth="1"/>
    <col min="14600" max="14600" width="19.28515625" style="27" bestFit="1" customWidth="1"/>
    <col min="14601" max="14601" width="18" style="27" bestFit="1" customWidth="1"/>
    <col min="14602" max="14602" width="16.28515625" style="27" bestFit="1" customWidth="1"/>
    <col min="14603" max="14603" width="16.5703125" style="27" bestFit="1" customWidth="1"/>
    <col min="14604" max="14604" width="16.42578125" style="27" bestFit="1" customWidth="1"/>
    <col min="14605" max="14605" width="15.5703125" style="27" bestFit="1" customWidth="1"/>
    <col min="14606" max="14606" width="14.7109375" style="27" bestFit="1" customWidth="1"/>
    <col min="14607" max="14607" width="16" style="27" bestFit="1" customWidth="1"/>
    <col min="14608" max="14608" width="14.7109375" style="27" bestFit="1" customWidth="1"/>
    <col min="14609" max="14609" width="16" style="27" bestFit="1" customWidth="1"/>
    <col min="14610" max="14610" width="12.7109375" style="27" bestFit="1" customWidth="1"/>
    <col min="14611" max="14611" width="14.7109375" style="27" bestFit="1" customWidth="1"/>
    <col min="14612" max="14849" width="9.28515625" style="27"/>
    <col min="14850" max="14850" width="6.28515625" style="27" customWidth="1"/>
    <col min="14851" max="14851" width="4.42578125" style="27" customWidth="1"/>
    <col min="14852" max="14852" width="38.42578125" style="27" customWidth="1"/>
    <col min="14853" max="14854" width="0" style="27" hidden="1" customWidth="1"/>
    <col min="14855" max="14855" width="28.28515625" style="27" customWidth="1"/>
    <col min="14856" max="14856" width="19.28515625" style="27" bestFit="1" customWidth="1"/>
    <col min="14857" max="14857" width="18" style="27" bestFit="1" customWidth="1"/>
    <col min="14858" max="14858" width="16.28515625" style="27" bestFit="1" customWidth="1"/>
    <col min="14859" max="14859" width="16.5703125" style="27" bestFit="1" customWidth="1"/>
    <col min="14860" max="14860" width="16.42578125" style="27" bestFit="1" customWidth="1"/>
    <col min="14861" max="14861" width="15.5703125" style="27" bestFit="1" customWidth="1"/>
    <col min="14862" max="14862" width="14.7109375" style="27" bestFit="1" customWidth="1"/>
    <col min="14863" max="14863" width="16" style="27" bestFit="1" customWidth="1"/>
    <col min="14864" max="14864" width="14.7109375" style="27" bestFit="1" customWidth="1"/>
    <col min="14865" max="14865" width="16" style="27" bestFit="1" customWidth="1"/>
    <col min="14866" max="14866" width="12.7109375" style="27" bestFit="1" customWidth="1"/>
    <col min="14867" max="14867" width="14.7109375" style="27" bestFit="1" customWidth="1"/>
    <col min="14868" max="15105" width="9.28515625" style="27"/>
    <col min="15106" max="15106" width="6.28515625" style="27" customWidth="1"/>
    <col min="15107" max="15107" width="4.42578125" style="27" customWidth="1"/>
    <col min="15108" max="15108" width="38.42578125" style="27" customWidth="1"/>
    <col min="15109" max="15110" width="0" style="27" hidden="1" customWidth="1"/>
    <col min="15111" max="15111" width="28.28515625" style="27" customWidth="1"/>
    <col min="15112" max="15112" width="19.28515625" style="27" bestFit="1" customWidth="1"/>
    <col min="15113" max="15113" width="18" style="27" bestFit="1" customWidth="1"/>
    <col min="15114" max="15114" width="16.28515625" style="27" bestFit="1" customWidth="1"/>
    <col min="15115" max="15115" width="16.5703125" style="27" bestFit="1" customWidth="1"/>
    <col min="15116" max="15116" width="16.42578125" style="27" bestFit="1" customWidth="1"/>
    <col min="15117" max="15117" width="15.5703125" style="27" bestFit="1" customWidth="1"/>
    <col min="15118" max="15118" width="14.7109375" style="27" bestFit="1" customWidth="1"/>
    <col min="15119" max="15119" width="16" style="27" bestFit="1" customWidth="1"/>
    <col min="15120" max="15120" width="14.7109375" style="27" bestFit="1" customWidth="1"/>
    <col min="15121" max="15121" width="16" style="27" bestFit="1" customWidth="1"/>
    <col min="15122" max="15122" width="12.7109375" style="27" bestFit="1" customWidth="1"/>
    <col min="15123" max="15123" width="14.7109375" style="27" bestFit="1" customWidth="1"/>
    <col min="15124" max="15361" width="9.28515625" style="27"/>
    <col min="15362" max="15362" width="6.28515625" style="27" customWidth="1"/>
    <col min="15363" max="15363" width="4.42578125" style="27" customWidth="1"/>
    <col min="15364" max="15364" width="38.42578125" style="27" customWidth="1"/>
    <col min="15365" max="15366" width="0" style="27" hidden="1" customWidth="1"/>
    <col min="15367" max="15367" width="28.28515625" style="27" customWidth="1"/>
    <col min="15368" max="15368" width="19.28515625" style="27" bestFit="1" customWidth="1"/>
    <col min="15369" max="15369" width="18" style="27" bestFit="1" customWidth="1"/>
    <col min="15370" max="15370" width="16.28515625" style="27" bestFit="1" customWidth="1"/>
    <col min="15371" max="15371" width="16.5703125" style="27" bestFit="1" customWidth="1"/>
    <col min="15372" max="15372" width="16.42578125" style="27" bestFit="1" customWidth="1"/>
    <col min="15373" max="15373" width="15.5703125" style="27" bestFit="1" customWidth="1"/>
    <col min="15374" max="15374" width="14.7109375" style="27" bestFit="1" customWidth="1"/>
    <col min="15375" max="15375" width="16" style="27" bestFit="1" customWidth="1"/>
    <col min="15376" max="15376" width="14.7109375" style="27" bestFit="1" customWidth="1"/>
    <col min="15377" max="15377" width="16" style="27" bestFit="1" customWidth="1"/>
    <col min="15378" max="15378" width="12.7109375" style="27" bestFit="1" customWidth="1"/>
    <col min="15379" max="15379" width="14.7109375" style="27" bestFit="1" customWidth="1"/>
    <col min="15380" max="15617" width="9.28515625" style="27"/>
    <col min="15618" max="15618" width="6.28515625" style="27" customWidth="1"/>
    <col min="15619" max="15619" width="4.42578125" style="27" customWidth="1"/>
    <col min="15620" max="15620" width="38.42578125" style="27" customWidth="1"/>
    <col min="15621" max="15622" width="0" style="27" hidden="1" customWidth="1"/>
    <col min="15623" max="15623" width="28.28515625" style="27" customWidth="1"/>
    <col min="15624" max="15624" width="19.28515625" style="27" bestFit="1" customWidth="1"/>
    <col min="15625" max="15625" width="18" style="27" bestFit="1" customWidth="1"/>
    <col min="15626" max="15626" width="16.28515625" style="27" bestFit="1" customWidth="1"/>
    <col min="15627" max="15627" width="16.5703125" style="27" bestFit="1" customWidth="1"/>
    <col min="15628" max="15628" width="16.42578125" style="27" bestFit="1" customWidth="1"/>
    <col min="15629" max="15629" width="15.5703125" style="27" bestFit="1" customWidth="1"/>
    <col min="15630" max="15630" width="14.7109375" style="27" bestFit="1" customWidth="1"/>
    <col min="15631" max="15631" width="16" style="27" bestFit="1" customWidth="1"/>
    <col min="15632" max="15632" width="14.7109375" style="27" bestFit="1" customWidth="1"/>
    <col min="15633" max="15633" width="16" style="27" bestFit="1" customWidth="1"/>
    <col min="15634" max="15634" width="12.7109375" style="27" bestFit="1" customWidth="1"/>
    <col min="15635" max="15635" width="14.7109375" style="27" bestFit="1" customWidth="1"/>
    <col min="15636" max="15873" width="9.28515625" style="27"/>
    <col min="15874" max="15874" width="6.28515625" style="27" customWidth="1"/>
    <col min="15875" max="15875" width="4.42578125" style="27" customWidth="1"/>
    <col min="15876" max="15876" width="38.42578125" style="27" customWidth="1"/>
    <col min="15877" max="15878" width="0" style="27" hidden="1" customWidth="1"/>
    <col min="15879" max="15879" width="28.28515625" style="27" customWidth="1"/>
    <col min="15880" max="15880" width="19.28515625" style="27" bestFit="1" customWidth="1"/>
    <col min="15881" max="15881" width="18" style="27" bestFit="1" customWidth="1"/>
    <col min="15882" max="15882" width="16.28515625" style="27" bestFit="1" customWidth="1"/>
    <col min="15883" max="15883" width="16.5703125" style="27" bestFit="1" customWidth="1"/>
    <col min="15884" max="15884" width="16.42578125" style="27" bestFit="1" customWidth="1"/>
    <col min="15885" max="15885" width="15.5703125" style="27" bestFit="1" customWidth="1"/>
    <col min="15886" max="15886" width="14.7109375" style="27" bestFit="1" customWidth="1"/>
    <col min="15887" max="15887" width="16" style="27" bestFit="1" customWidth="1"/>
    <col min="15888" max="15888" width="14.7109375" style="27" bestFit="1" customWidth="1"/>
    <col min="15889" max="15889" width="16" style="27" bestFit="1" customWidth="1"/>
    <col min="15890" max="15890" width="12.7109375" style="27" bestFit="1" customWidth="1"/>
    <col min="15891" max="15891" width="14.7109375" style="27" bestFit="1" customWidth="1"/>
    <col min="15892" max="16129" width="9.28515625" style="27"/>
    <col min="16130" max="16130" width="6.28515625" style="27" customWidth="1"/>
    <col min="16131" max="16131" width="4.42578125" style="27" customWidth="1"/>
    <col min="16132" max="16132" width="38.42578125" style="27" customWidth="1"/>
    <col min="16133" max="16134" width="0" style="27" hidden="1" customWidth="1"/>
    <col min="16135" max="16135" width="28.28515625" style="27" customWidth="1"/>
    <col min="16136" max="16136" width="19.28515625" style="27" bestFit="1" customWidth="1"/>
    <col min="16137" max="16137" width="18" style="27" bestFit="1" customWidth="1"/>
    <col min="16138" max="16138" width="16.28515625" style="27" bestFit="1" customWidth="1"/>
    <col min="16139" max="16139" width="16.5703125" style="27" bestFit="1" customWidth="1"/>
    <col min="16140" max="16140" width="16.42578125" style="27" bestFit="1" customWidth="1"/>
    <col min="16141" max="16141" width="15.5703125" style="27" bestFit="1" customWidth="1"/>
    <col min="16142" max="16142" width="14.7109375" style="27" bestFit="1" customWidth="1"/>
    <col min="16143" max="16143" width="16" style="27" bestFit="1" customWidth="1"/>
    <col min="16144" max="16144" width="14.7109375" style="27" bestFit="1" customWidth="1"/>
    <col min="16145" max="16145" width="16" style="27" bestFit="1" customWidth="1"/>
    <col min="16146" max="16146" width="12.7109375" style="27" bestFit="1" customWidth="1"/>
    <col min="16147" max="16147" width="14.7109375" style="27" bestFit="1" customWidth="1"/>
    <col min="16148" max="16384" width="9.28515625" style="27"/>
  </cols>
  <sheetData>
    <row r="1" spans="1:15" ht="20.25" x14ac:dyDescent="0.3">
      <c r="A1" s="362" t="s">
        <v>861</v>
      </c>
      <c r="B1" s="362"/>
      <c r="C1" s="362"/>
      <c r="D1" s="362"/>
      <c r="E1" s="362"/>
      <c r="F1" s="362"/>
      <c r="G1" s="362"/>
      <c r="H1" s="362"/>
      <c r="I1" s="362"/>
      <c r="J1" s="362"/>
      <c r="K1" s="362"/>
      <c r="L1" s="362"/>
      <c r="M1" s="362"/>
    </row>
    <row r="3" spans="1:15" x14ac:dyDescent="0.2">
      <c r="J3" s="214"/>
    </row>
    <row r="4" spans="1:15" ht="38.25" x14ac:dyDescent="0.2">
      <c r="A4" s="28"/>
      <c r="B4" s="29" t="s">
        <v>181</v>
      </c>
      <c r="C4" s="30"/>
      <c r="D4" s="31"/>
      <c r="E4" s="28"/>
      <c r="F4" s="28"/>
      <c r="G4" s="32" t="s">
        <v>9</v>
      </c>
      <c r="H4" s="32" t="s">
        <v>37</v>
      </c>
      <c r="I4" s="32" t="s">
        <v>29</v>
      </c>
      <c r="J4" s="32" t="s">
        <v>30</v>
      </c>
      <c r="K4" s="32" t="s">
        <v>215</v>
      </c>
      <c r="L4" s="33" t="s">
        <v>396</v>
      </c>
      <c r="M4" s="32" t="s">
        <v>397</v>
      </c>
    </row>
    <row r="5" spans="1:15" x14ac:dyDescent="0.2">
      <c r="A5" s="34" t="s">
        <v>184</v>
      </c>
      <c r="C5" s="35" t="s">
        <v>182</v>
      </c>
      <c r="L5" s="36"/>
    </row>
    <row r="6" spans="1:15" x14ac:dyDescent="0.2">
      <c r="A6" s="34" t="s">
        <v>185</v>
      </c>
      <c r="C6" s="27" t="s">
        <v>183</v>
      </c>
      <c r="G6" s="218">
        <f>SUM('#1-Meritus:#5034-Mt Washington Pediatric'!F18:F18)</f>
        <v>0</v>
      </c>
      <c r="H6" s="218">
        <f>SUM('#1-Meritus:#5034-Mt Washington Pediatric'!G18:G18)</f>
        <v>0</v>
      </c>
      <c r="I6" s="218">
        <f>SUM('#1-Meritus:#5034-Mt Washington Pediatric'!H18:H18)</f>
        <v>364825001.49608707</v>
      </c>
      <c r="J6" s="218">
        <f>SUM('#1-Meritus:#5034-Mt Washington Pediatric'!I18:I18)</f>
        <v>0</v>
      </c>
      <c r="K6" s="218">
        <f>SUM('#1-Meritus:#5034-Mt Washington Pediatric'!J18:J18)</f>
        <v>308349116.12643558</v>
      </c>
      <c r="L6" s="218">
        <f>SUM('#1-Meritus:#5034-Mt Washington Pediatric'!K18:K18)</f>
        <v>56475885.369651459</v>
      </c>
      <c r="M6" s="74">
        <f>L6-J6</f>
        <v>56475885.369651459</v>
      </c>
      <c r="N6" s="36"/>
      <c r="O6" s="36"/>
    </row>
    <row r="7" spans="1:15" ht="38.25" x14ac:dyDescent="0.2">
      <c r="A7" s="28" t="s">
        <v>8</v>
      </c>
      <c r="B7" s="28"/>
      <c r="C7" s="31"/>
      <c r="D7" s="31"/>
      <c r="E7" s="31"/>
      <c r="F7" s="31"/>
      <c r="G7" s="32" t="s">
        <v>9</v>
      </c>
      <c r="H7" s="32" t="s">
        <v>37</v>
      </c>
      <c r="I7" s="32" t="s">
        <v>398</v>
      </c>
      <c r="J7" s="32" t="s">
        <v>399</v>
      </c>
      <c r="K7" s="33" t="s">
        <v>215</v>
      </c>
      <c r="L7" s="38" t="s">
        <v>396</v>
      </c>
      <c r="M7" s="32" t="s">
        <v>397</v>
      </c>
      <c r="N7" s="36"/>
      <c r="O7" s="36"/>
    </row>
    <row r="8" spans="1:15" x14ac:dyDescent="0.2">
      <c r="A8" s="29" t="s">
        <v>74</v>
      </c>
      <c r="B8" s="35" t="s">
        <v>41</v>
      </c>
      <c r="K8" s="39"/>
      <c r="L8" s="40"/>
      <c r="N8" s="36"/>
      <c r="O8" s="36"/>
    </row>
    <row r="9" spans="1:15" x14ac:dyDescent="0.2">
      <c r="A9" s="41" t="s">
        <v>75</v>
      </c>
      <c r="B9" s="27" t="s">
        <v>42</v>
      </c>
      <c r="G9" s="403">
        <f>SUM('#1-Meritus:#5034-Mt Washington Pediatric'!F21:F21)</f>
        <v>1077956.2794470345</v>
      </c>
      <c r="H9" s="403">
        <f>SUM('#1-Meritus:#5034-Mt Washington Pediatric'!G21:G21)</f>
        <v>1918221.3196521094</v>
      </c>
      <c r="I9" s="403">
        <f>SUM('#1-Meritus:#5034-Mt Washington Pediatric'!H21:H21)</f>
        <v>16861383.449890621</v>
      </c>
      <c r="J9" s="403">
        <f>SUM('#1-Meritus:#5034-Mt Washington Pediatric'!I21:I21)</f>
        <v>9407327.0154236853</v>
      </c>
      <c r="K9" s="403">
        <f>SUM('#1-Meritus:#5034-Mt Washington Pediatric'!J21:J21)</f>
        <v>2032085.3220000002</v>
      </c>
      <c r="L9" s="403">
        <f>SUM('#1-Meritus:#5034-Mt Washington Pediatric'!K21:K21)</f>
        <v>24236625.143314309</v>
      </c>
      <c r="M9" s="78">
        <f>L9-J9</f>
        <v>14829298.127890624</v>
      </c>
      <c r="N9" s="36"/>
      <c r="O9" s="36"/>
    </row>
    <row r="10" spans="1:15" x14ac:dyDescent="0.2">
      <c r="A10" s="41" t="s">
        <v>76</v>
      </c>
      <c r="B10" s="27" t="s">
        <v>6</v>
      </c>
      <c r="G10" s="403">
        <f>SUM('#1-Meritus:#5034-Mt Washington Pediatric'!F22:F22)</f>
        <v>27742.122449999999</v>
      </c>
      <c r="H10" s="403">
        <f>SUM('#1-Meritus:#5034-Mt Washington Pediatric'!G22:G22)</f>
        <v>38293</v>
      </c>
      <c r="I10" s="403">
        <f>SUM('#1-Meritus:#5034-Mt Washington Pediatric'!H22:H22)</f>
        <v>2828315.226278821</v>
      </c>
      <c r="J10" s="403">
        <f>SUM('#1-Meritus:#5034-Mt Washington Pediatric'!I22:I22)</f>
        <v>1740066.0075968739</v>
      </c>
      <c r="K10" s="403">
        <f>SUM('#1-Meritus:#5034-Mt Washington Pediatric'!J22:J22)</f>
        <v>360257.34230000002</v>
      </c>
      <c r="L10" s="403">
        <f>SUM('#1-Meritus:#5034-Mt Washington Pediatric'!K22:K22)</f>
        <v>4208123.891575695</v>
      </c>
      <c r="M10" s="78">
        <f t="shared" ref="M10:M22" si="0">L10-J10</f>
        <v>2468057.8839788213</v>
      </c>
      <c r="N10" s="36"/>
      <c r="O10" s="36"/>
    </row>
    <row r="11" spans="1:15" x14ac:dyDescent="0.2">
      <c r="A11" s="41" t="s">
        <v>77</v>
      </c>
      <c r="B11" s="27" t="s">
        <v>43</v>
      </c>
      <c r="G11" s="403">
        <f>SUM('#1-Meritus:#5034-Mt Washington Pediatric'!F23:F23)</f>
        <v>24410</v>
      </c>
      <c r="H11" s="403">
        <f>SUM('#1-Meritus:#5034-Mt Washington Pediatric'!G23:G23)</f>
        <v>83271</v>
      </c>
      <c r="I11" s="403">
        <f>SUM('#1-Meritus:#5034-Mt Washington Pediatric'!H23:H23)</f>
        <v>1420823.0309593447</v>
      </c>
      <c r="J11" s="403">
        <f>SUM('#1-Meritus:#5034-Mt Washington Pediatric'!I23:I23)</f>
        <v>864678.23811173101</v>
      </c>
      <c r="K11" s="403">
        <f>SUM('#1-Meritus:#5034-Mt Washington Pediatric'!J23:J23)</f>
        <v>364907.32600000006</v>
      </c>
      <c r="L11" s="403">
        <f>SUM('#1-Meritus:#5034-Mt Washington Pediatric'!K23:K23)</f>
        <v>1920593.9430710757</v>
      </c>
      <c r="M11" s="78">
        <f t="shared" si="0"/>
        <v>1055915.7049593446</v>
      </c>
      <c r="N11" s="36"/>
      <c r="O11" s="36"/>
    </row>
    <row r="12" spans="1:15" x14ac:dyDescent="0.2">
      <c r="A12" s="41" t="s">
        <v>78</v>
      </c>
      <c r="B12" s="27" t="s">
        <v>44</v>
      </c>
      <c r="G12" s="403">
        <f>SUM('#1-Meritus:#5034-Mt Washington Pediatric'!F24:F24)</f>
        <v>302782.77</v>
      </c>
      <c r="H12" s="403">
        <f>SUM('#1-Meritus:#5034-Mt Washington Pediatric'!G24:G24)</f>
        <v>297981</v>
      </c>
      <c r="I12" s="403">
        <f>SUM('#1-Meritus:#5034-Mt Washington Pediatric'!H24:H24)</f>
        <v>15494509.908428246</v>
      </c>
      <c r="J12" s="403">
        <f>SUM('#1-Meritus:#5034-Mt Washington Pediatric'!I24:I24)</f>
        <v>13763578.770963356</v>
      </c>
      <c r="K12" s="403">
        <f>SUM('#1-Meritus:#5034-Mt Washington Pediatric'!J24:J24)</f>
        <v>11057105</v>
      </c>
      <c r="L12" s="403">
        <f>SUM('#1-Meritus:#5034-Mt Washington Pediatric'!K24:K24)</f>
        <v>18200983.6793916</v>
      </c>
      <c r="M12" s="78">
        <f t="shared" si="0"/>
        <v>4437404.9084282443</v>
      </c>
      <c r="N12" s="36"/>
      <c r="O12" s="36"/>
    </row>
    <row r="13" spans="1:15" x14ac:dyDescent="0.2">
      <c r="A13" s="41" t="s">
        <v>79</v>
      </c>
      <c r="B13" s="27" t="s">
        <v>5</v>
      </c>
      <c r="G13" s="403">
        <f>SUM('#1-Meritus:#5034-Mt Washington Pediatric'!F25:F25)</f>
        <v>46014.109999999993</v>
      </c>
      <c r="H13" s="403">
        <f>SUM('#1-Meritus:#5034-Mt Washington Pediatric'!G25:G25)</f>
        <v>204178</v>
      </c>
      <c r="I13" s="403">
        <f>SUM('#1-Meritus:#5034-Mt Washington Pediatric'!H25:H25)</f>
        <v>2000791.2504570177</v>
      </c>
      <c r="J13" s="403">
        <f>SUM('#1-Meritus:#5034-Mt Washington Pediatric'!I25:I25)</f>
        <v>1328912.4827710744</v>
      </c>
      <c r="K13" s="403">
        <f>SUM('#1-Meritus:#5034-Mt Washington Pediatric'!J25:J25)</f>
        <v>221975.75</v>
      </c>
      <c r="L13" s="403">
        <f>SUM('#1-Meritus:#5034-Mt Washington Pediatric'!K25:K25)</f>
        <v>3107727.9832280925</v>
      </c>
      <c r="M13" s="78">
        <f t="shared" si="0"/>
        <v>1778815.5004570181</v>
      </c>
      <c r="N13" s="36"/>
      <c r="O13" s="36"/>
    </row>
    <row r="14" spans="1:15" x14ac:dyDescent="0.2">
      <c r="A14" s="41" t="s">
        <v>80</v>
      </c>
      <c r="B14" s="27" t="s">
        <v>45</v>
      </c>
      <c r="G14" s="403">
        <f>SUM('#1-Meritus:#5034-Mt Washington Pediatric'!F26:F26)</f>
        <v>1504.58</v>
      </c>
      <c r="H14" s="403">
        <f>SUM('#1-Meritus:#5034-Mt Washington Pediatric'!G26:G26)</f>
        <v>8245</v>
      </c>
      <c r="I14" s="403">
        <f>SUM('#1-Meritus:#5034-Mt Washington Pediatric'!H26:H26)</f>
        <v>179644.43437568127</v>
      </c>
      <c r="J14" s="403">
        <f>SUM('#1-Meritus:#5034-Mt Washington Pediatric'!I26:I26)</f>
        <v>72964.51263374163</v>
      </c>
      <c r="K14" s="403">
        <f>SUM('#1-Meritus:#5034-Mt Washington Pediatric'!J26:J26)</f>
        <v>17809</v>
      </c>
      <c r="L14" s="403">
        <f>SUM('#1-Meritus:#5034-Mt Washington Pediatric'!K26:K26)</f>
        <v>234799.94700942293</v>
      </c>
      <c r="M14" s="78">
        <f t="shared" si="0"/>
        <v>161835.4343756813</v>
      </c>
      <c r="N14" s="36"/>
      <c r="O14" s="36"/>
    </row>
    <row r="15" spans="1:15" x14ac:dyDescent="0.2">
      <c r="A15" s="41" t="s">
        <v>81</v>
      </c>
      <c r="B15" s="27" t="s">
        <v>46</v>
      </c>
      <c r="G15" s="403">
        <f>SUM('#1-Meritus:#5034-Mt Washington Pediatric'!F27:F27)</f>
        <v>3998.2</v>
      </c>
      <c r="H15" s="403">
        <f>SUM('#1-Meritus:#5034-Mt Washington Pediatric'!G27:G27)</f>
        <v>9243</v>
      </c>
      <c r="I15" s="403">
        <f>SUM('#1-Meritus:#5034-Mt Washington Pediatric'!H27:H27)</f>
        <v>4393521.3600000003</v>
      </c>
      <c r="J15" s="403">
        <f>SUM('#1-Meritus:#5034-Mt Washington Pediatric'!I27:I27)</f>
        <v>963128.71336562745</v>
      </c>
      <c r="K15" s="403">
        <f>SUM('#1-Meritus:#5034-Mt Washington Pediatric'!J27:J27)</f>
        <v>280910.84999999998</v>
      </c>
      <c r="L15" s="403">
        <f>SUM('#1-Meritus:#5034-Mt Washington Pediatric'!K27:K27)</f>
        <v>5075739.2233656282</v>
      </c>
      <c r="M15" s="78">
        <f t="shared" si="0"/>
        <v>4112610.5100000007</v>
      </c>
      <c r="N15" s="36"/>
      <c r="O15" s="36"/>
    </row>
    <row r="16" spans="1:15" x14ac:dyDescent="0.2">
      <c r="A16" s="41" t="s">
        <v>82</v>
      </c>
      <c r="B16" s="27" t="s">
        <v>47</v>
      </c>
      <c r="G16" s="403">
        <f>SUM('#1-Meritus:#5034-Mt Washington Pediatric'!F28:F28)</f>
        <v>31282.5</v>
      </c>
      <c r="H16" s="403">
        <f>SUM('#1-Meritus:#5034-Mt Washington Pediatric'!G28:G28)</f>
        <v>9806</v>
      </c>
      <c r="I16" s="403">
        <f>SUM('#1-Meritus:#5034-Mt Washington Pediatric'!H28:H28)</f>
        <v>2478558.3000000003</v>
      </c>
      <c r="J16" s="403">
        <f>SUM('#1-Meritus:#5034-Mt Washington Pediatric'!I28:I28)</f>
        <v>840017.62422422599</v>
      </c>
      <c r="K16" s="403">
        <f>SUM('#1-Meritus:#5034-Mt Washington Pediatric'!J28:J28)</f>
        <v>1788572</v>
      </c>
      <c r="L16" s="403">
        <f>SUM('#1-Meritus:#5034-Mt Washington Pediatric'!K28:K28)</f>
        <v>1530003.924224226</v>
      </c>
      <c r="M16" s="78">
        <f t="shared" si="0"/>
        <v>689986.3</v>
      </c>
      <c r="N16" s="36"/>
      <c r="O16" s="36"/>
    </row>
    <row r="17" spans="1:15" x14ac:dyDescent="0.2">
      <c r="A17" s="41" t="s">
        <v>83</v>
      </c>
      <c r="B17" s="27" t="s">
        <v>48</v>
      </c>
      <c r="G17" s="403">
        <f>SUM('#1-Meritus:#5034-Mt Washington Pediatric'!F29:F29)</f>
        <v>382989.25959833461</v>
      </c>
      <c r="H17" s="403">
        <f>SUM('#1-Meritus:#5034-Mt Washington Pediatric'!G29:G29)</f>
        <v>345885.16156043153</v>
      </c>
      <c r="I17" s="403">
        <f>SUM('#1-Meritus:#5034-Mt Washington Pediatric'!H29:H29)</f>
        <v>39875757.420550175</v>
      </c>
      <c r="J17" s="403">
        <f>SUM('#1-Meritus:#5034-Mt Washington Pediatric'!I29:I29)</f>
        <v>20716454.440455176</v>
      </c>
      <c r="K17" s="403">
        <f>SUM('#1-Meritus:#5034-Mt Washington Pediatric'!J29:J29)</f>
        <v>3647369.38</v>
      </c>
      <c r="L17" s="403">
        <f>SUM('#1-Meritus:#5034-Mt Washington Pediatric'!K29:K29)</f>
        <v>56944842.481005363</v>
      </c>
      <c r="M17" s="78">
        <f t="shared" si="0"/>
        <v>36228388.040550187</v>
      </c>
      <c r="N17" s="36"/>
      <c r="O17" s="36"/>
    </row>
    <row r="18" spans="1:15" x14ac:dyDescent="0.2">
      <c r="A18" s="1" t="s">
        <v>84</v>
      </c>
      <c r="B18" s="363" t="s">
        <v>233</v>
      </c>
      <c r="C18" s="364"/>
      <c r="D18" s="365"/>
      <c r="E18"/>
      <c r="F18" s="76"/>
      <c r="G18" s="403">
        <f>SUM('#1-Meritus:#5034-Mt Washington Pediatric'!F30:F30)</f>
        <v>49032.49</v>
      </c>
      <c r="H18" s="403">
        <f>SUM('#1-Meritus:#5034-Mt Washington Pediatric'!G30:G30)</f>
        <v>113811</v>
      </c>
      <c r="I18" s="403">
        <f>SUM('#1-Meritus:#5034-Mt Washington Pediatric'!H30:H30)</f>
        <v>9489166.4307249989</v>
      </c>
      <c r="J18" s="403">
        <f>SUM('#1-Meritus:#5034-Mt Washington Pediatric'!I30:I30)</f>
        <v>3231507.6190615632</v>
      </c>
      <c r="K18" s="403">
        <f>SUM('#1-Meritus:#5034-Mt Washington Pediatric'!J30:J30)</f>
        <v>3334406.3315000003</v>
      </c>
      <c r="L18" s="403">
        <f>SUM('#1-Meritus:#5034-Mt Washington Pediatric'!K30:K30)</f>
        <v>9386267.7182865627</v>
      </c>
      <c r="M18" s="78">
        <f t="shared" si="0"/>
        <v>6154760.0992249995</v>
      </c>
      <c r="N18" s="36"/>
      <c r="O18" s="36"/>
    </row>
    <row r="19" spans="1:15" x14ac:dyDescent="0.2">
      <c r="A19" s="1" t="s">
        <v>133</v>
      </c>
      <c r="B19" s="363" t="s">
        <v>233</v>
      </c>
      <c r="C19" s="364"/>
      <c r="D19" s="365"/>
      <c r="E19"/>
      <c r="F19" s="76"/>
      <c r="G19" s="403">
        <f>SUM('#1-Meritus:#5034-Mt Washington Pediatric'!F31:F31)</f>
        <v>20697.5</v>
      </c>
      <c r="H19" s="403">
        <f>SUM('#1-Meritus:#5034-Mt Washington Pediatric'!G31:G31)</f>
        <v>8155</v>
      </c>
      <c r="I19" s="403">
        <f>SUM('#1-Meritus:#5034-Mt Washington Pediatric'!H31:H31)</f>
        <v>1261637.48</v>
      </c>
      <c r="J19" s="403">
        <f>SUM('#1-Meritus:#5034-Mt Washington Pediatric'!I31:I31)</f>
        <v>718364.23494235845</v>
      </c>
      <c r="K19" s="403">
        <f>SUM('#1-Meritus:#5034-Mt Washington Pediatric'!J31:J31)</f>
        <v>0</v>
      </c>
      <c r="L19" s="403">
        <f>SUM('#1-Meritus:#5034-Mt Washington Pediatric'!K31:K31)</f>
        <v>1980001.7149423584</v>
      </c>
      <c r="M19" s="78">
        <f t="shared" si="0"/>
        <v>1261637.48</v>
      </c>
      <c r="N19" s="36"/>
      <c r="O19" s="36"/>
    </row>
    <row r="20" spans="1:15" x14ac:dyDescent="0.2">
      <c r="A20" s="1" t="s">
        <v>134</v>
      </c>
      <c r="B20" s="24" t="s">
        <v>233</v>
      </c>
      <c r="C20" s="25"/>
      <c r="D20" s="26"/>
      <c r="E20"/>
      <c r="F20" s="76"/>
      <c r="G20" s="403">
        <f>SUM('#1-Meritus:#5034-Mt Washington Pediatric'!F32:F32)</f>
        <v>5809</v>
      </c>
      <c r="H20" s="403">
        <f>SUM('#1-Meritus:#5034-Mt Washington Pediatric'!G32:G32)</f>
        <v>12225</v>
      </c>
      <c r="I20" s="403">
        <f>SUM('#1-Meritus:#5034-Mt Washington Pediatric'!H32:H32)</f>
        <v>362030.98</v>
      </c>
      <c r="J20" s="403">
        <f>SUM('#1-Meritus:#5034-Mt Washington Pediatric'!I32:I32)</f>
        <v>127557.74234867678</v>
      </c>
      <c r="K20" s="403">
        <f>SUM('#1-Meritus:#5034-Mt Washington Pediatric'!J32:J32)</f>
        <v>10</v>
      </c>
      <c r="L20" s="403">
        <f>SUM('#1-Meritus:#5034-Mt Washington Pediatric'!K32:K32)</f>
        <v>489578.72234867676</v>
      </c>
      <c r="M20" s="78">
        <f t="shared" si="0"/>
        <v>362020.98</v>
      </c>
      <c r="N20" s="36"/>
      <c r="O20" s="36"/>
    </row>
    <row r="21" spans="1:15" x14ac:dyDescent="0.2">
      <c r="A21" s="1" t="s">
        <v>135</v>
      </c>
      <c r="B21" s="24" t="s">
        <v>233</v>
      </c>
      <c r="C21" s="25"/>
      <c r="D21" s="26"/>
      <c r="E21"/>
      <c r="F21" s="76"/>
      <c r="G21" s="403">
        <f>SUM('#1-Meritus:#5034-Mt Washington Pediatric'!F33:F33)</f>
        <v>3193</v>
      </c>
      <c r="H21" s="403">
        <f>SUM('#1-Meritus:#5034-Mt Washington Pediatric'!G33:G33)</f>
        <v>2069</v>
      </c>
      <c r="I21" s="403">
        <f>SUM('#1-Meritus:#5034-Mt Washington Pediatric'!H33:H33)</f>
        <v>122758.29</v>
      </c>
      <c r="J21" s="403">
        <f>SUM('#1-Meritus:#5034-Mt Washington Pediatric'!I33:I33)</f>
        <v>61184.21</v>
      </c>
      <c r="K21" s="403">
        <f>SUM('#1-Meritus:#5034-Mt Washington Pediatric'!J33:J33)</f>
        <v>80000</v>
      </c>
      <c r="L21" s="403">
        <f>SUM('#1-Meritus:#5034-Mt Washington Pediatric'!K33:K33)</f>
        <v>103942.5</v>
      </c>
      <c r="M21" s="78">
        <f t="shared" si="0"/>
        <v>42758.29</v>
      </c>
      <c r="N21" s="36"/>
      <c r="O21" s="36"/>
    </row>
    <row r="22" spans="1:15" x14ac:dyDescent="0.2">
      <c r="A22" s="1" t="s">
        <v>136</v>
      </c>
      <c r="B22" s="363" t="s">
        <v>233</v>
      </c>
      <c r="C22" s="364"/>
      <c r="D22" s="365"/>
      <c r="E22"/>
      <c r="F22" s="76"/>
      <c r="G22" s="403">
        <f>SUM('#1-Meritus:#5034-Mt Washington Pediatric'!F34:F34)</f>
        <v>0</v>
      </c>
      <c r="H22" s="403">
        <f>SUM('#1-Meritus:#5034-Mt Washington Pediatric'!G34:G34)</f>
        <v>0</v>
      </c>
      <c r="I22" s="403">
        <f>SUM('#1-Meritus:#5034-Mt Washington Pediatric'!H34:H34)</f>
        <v>0</v>
      </c>
      <c r="J22" s="403">
        <f>SUM('#1-Meritus:#5034-Mt Washington Pediatric'!I34:I34)</f>
        <v>0</v>
      </c>
      <c r="K22" s="403">
        <f>SUM('#1-Meritus:#5034-Mt Washington Pediatric'!J34:J34)</f>
        <v>0</v>
      </c>
      <c r="L22" s="403">
        <f>SUM('#1-Meritus:#5034-Mt Washington Pediatric'!K34:K34)</f>
        <v>0</v>
      </c>
      <c r="M22" s="78">
        <f t="shared" si="0"/>
        <v>0</v>
      </c>
      <c r="N22" s="36"/>
      <c r="O22" s="36"/>
    </row>
    <row r="23" spans="1:15" x14ac:dyDescent="0.2">
      <c r="D23" s="35"/>
      <c r="E23" s="35"/>
      <c r="F23" s="35"/>
      <c r="G23" s="58"/>
      <c r="H23" s="58"/>
      <c r="I23" s="58"/>
      <c r="J23" s="58"/>
      <c r="K23" s="58"/>
      <c r="L23" s="58"/>
      <c r="M23" s="58"/>
      <c r="N23" s="36"/>
      <c r="O23" s="36"/>
    </row>
    <row r="24" spans="1:15" x14ac:dyDescent="0.2">
      <c r="A24" s="29" t="s">
        <v>137</v>
      </c>
      <c r="B24" s="35" t="s">
        <v>138</v>
      </c>
      <c r="G24" s="53">
        <f t="shared" ref="G24:H24" si="1">SUM(G9:G22)</f>
        <v>1977411.8114953691</v>
      </c>
      <c r="H24" s="53">
        <f t="shared" si="1"/>
        <v>3051383.481212541</v>
      </c>
      <c r="I24" s="403">
        <f>SUM('#1-Meritus:#5034-Mt Washington Pediatric'!H36:H36)</f>
        <v>96768897.561664864</v>
      </c>
      <c r="J24" s="403">
        <f>SUM('#1-Meritus:#5034-Mt Washington Pediatric'!I36:I36)</f>
        <v>53835741.611898124</v>
      </c>
      <c r="K24" s="403">
        <f>SUM('#1-Meritus:#5034-Mt Washington Pediatric'!J36:J36)</f>
        <v>23185408.301800005</v>
      </c>
      <c r="L24" s="403">
        <f>SUM('#1-Meritus:#5034-Mt Washington Pediatric'!K36:K36)</f>
        <v>127419230.87176299</v>
      </c>
      <c r="M24" s="78">
        <f>L24-J24</f>
        <v>73583489.259864867</v>
      </c>
      <c r="N24" s="36"/>
      <c r="O24" s="36"/>
    </row>
    <row r="25" spans="1:15" x14ac:dyDescent="0.2">
      <c r="A25" s="29"/>
      <c r="B25" s="35"/>
      <c r="G25" s="44"/>
      <c r="H25" s="44"/>
      <c r="I25" s="44"/>
      <c r="J25" s="44"/>
      <c r="K25" s="44"/>
      <c r="L25" s="44"/>
      <c r="M25" s="44"/>
      <c r="N25" s="36"/>
      <c r="O25" s="36"/>
    </row>
    <row r="26" spans="1:15" x14ac:dyDescent="0.2">
      <c r="A26" s="29"/>
      <c r="B26" s="35"/>
      <c r="G26" s="36"/>
      <c r="H26" s="36"/>
      <c r="I26" s="36"/>
      <c r="J26" s="36"/>
      <c r="K26" s="46"/>
      <c r="L26" s="46"/>
      <c r="M26" s="47"/>
      <c r="N26" s="36"/>
      <c r="O26" s="36"/>
    </row>
    <row r="27" spans="1:15" ht="42.75" customHeight="1" x14ac:dyDescent="0.2">
      <c r="A27" s="30"/>
      <c r="B27" s="30"/>
      <c r="G27" s="32" t="s">
        <v>9</v>
      </c>
      <c r="H27" s="32" t="s">
        <v>37</v>
      </c>
      <c r="I27" s="32" t="s">
        <v>398</v>
      </c>
      <c r="J27" s="32" t="s">
        <v>399</v>
      </c>
      <c r="K27" s="33" t="s">
        <v>215</v>
      </c>
      <c r="L27" s="38" t="s">
        <v>396</v>
      </c>
      <c r="M27" s="32" t="s">
        <v>397</v>
      </c>
      <c r="N27" s="36"/>
      <c r="O27" s="36"/>
    </row>
    <row r="28" spans="1:15" x14ac:dyDescent="0.2">
      <c r="A28" s="29" t="s">
        <v>400</v>
      </c>
      <c r="B28" s="29"/>
      <c r="C28" s="35" t="s">
        <v>49</v>
      </c>
      <c r="K28" s="39"/>
      <c r="L28" s="40"/>
      <c r="N28" s="36"/>
      <c r="O28" s="36"/>
    </row>
    <row r="29" spans="1:15" x14ac:dyDescent="0.2">
      <c r="A29" s="41" t="s">
        <v>246</v>
      </c>
      <c r="B29" s="41"/>
      <c r="C29" s="35" t="s">
        <v>31</v>
      </c>
      <c r="D29" s="35"/>
      <c r="E29" s="35"/>
      <c r="F29" s="35"/>
      <c r="G29" s="217">
        <f>SUM('#1-Meritus:#5034-Mt Washington Pediatric'!F40:F40)</f>
        <v>3922546.3771064994</v>
      </c>
      <c r="H29" s="217">
        <f>SUM('#1-Meritus:#5034-Mt Washington Pediatric'!G40:G40)</f>
        <v>55007.9</v>
      </c>
      <c r="I29" s="217">
        <f>SUM('#1-Meritus:#5034-Mt Washington Pediatric'!H40:H40)</f>
        <v>343365435.72885722</v>
      </c>
      <c r="J29" s="217">
        <f>SUM('#1-Meritus:#5034-Mt Washington Pediatric'!I40:I40)</f>
        <v>150027990.62828007</v>
      </c>
      <c r="K29" s="217">
        <f>SUM('#1-Meritus:#5034-Mt Washington Pediatric'!J40:J40)</f>
        <v>353766.67</v>
      </c>
      <c r="L29" s="217">
        <f>SUM('#1-Meritus:#5034-Mt Washington Pediatric'!K40:K40)</f>
        <v>493039659.68713713</v>
      </c>
      <c r="M29" s="74">
        <f>L29-J29</f>
        <v>343011669.05885708</v>
      </c>
      <c r="N29" s="36"/>
      <c r="O29" s="36"/>
    </row>
    <row r="30" spans="1:15" x14ac:dyDescent="0.2">
      <c r="A30" s="41" t="s">
        <v>247</v>
      </c>
      <c r="B30" s="41"/>
      <c r="C30" s="48" t="s">
        <v>50</v>
      </c>
      <c r="G30" s="217">
        <f>SUM('#1-Meritus:#5034-Mt Washington Pediatric'!F41:F41)</f>
        <v>508674.21331041976</v>
      </c>
      <c r="H30" s="217">
        <f>SUM('#1-Meritus:#5034-Mt Washington Pediatric'!G41:G41)</f>
        <v>21900.358333333334</v>
      </c>
      <c r="I30" s="217">
        <f>SUM('#1-Meritus:#5034-Mt Washington Pediatric'!H41:H41)</f>
        <v>25464327.012411121</v>
      </c>
      <c r="J30" s="217">
        <f>SUM('#1-Meritus:#5034-Mt Washington Pediatric'!I41:I41)</f>
        <v>9116005.508508699</v>
      </c>
      <c r="K30" s="217">
        <f>SUM('#1-Meritus:#5034-Mt Washington Pediatric'!J41:J41)</f>
        <v>154558</v>
      </c>
      <c r="L30" s="217">
        <f>SUM('#1-Meritus:#5034-Mt Washington Pediatric'!K41:K41)</f>
        <v>34425774.520919815</v>
      </c>
      <c r="M30" s="74">
        <f t="shared" ref="M30:M38" si="2">L30-J30</f>
        <v>25309769.012411118</v>
      </c>
      <c r="N30" s="36"/>
      <c r="O30" s="36"/>
    </row>
    <row r="31" spans="1:15" x14ac:dyDescent="0.2">
      <c r="A31" s="41" t="s">
        <v>248</v>
      </c>
      <c r="B31" s="41"/>
      <c r="C31" s="27" t="s">
        <v>11</v>
      </c>
      <c r="D31" s="49"/>
      <c r="E31" s="49"/>
      <c r="F31" s="49"/>
      <c r="G31" s="217">
        <f>SUM('#1-Meritus:#5034-Mt Washington Pediatric'!F42:F42)</f>
        <v>349670.25013611111</v>
      </c>
      <c r="H31" s="217">
        <f>SUM('#1-Meritus:#5034-Mt Washington Pediatric'!G42:G42)</f>
        <v>30913.443749999999</v>
      </c>
      <c r="I31" s="217">
        <f>SUM('#1-Meritus:#5034-Mt Washington Pediatric'!H42:H42)</f>
        <v>16711695.770763084</v>
      </c>
      <c r="J31" s="217">
        <f>SUM('#1-Meritus:#5034-Mt Washington Pediatric'!I42:I42)</f>
        <v>6526753.4541753633</v>
      </c>
      <c r="K31" s="217">
        <f>SUM('#1-Meritus:#5034-Mt Washington Pediatric'!J42:J42)</f>
        <v>311729.22025000001</v>
      </c>
      <c r="L31" s="217">
        <f>SUM('#1-Meritus:#5034-Mt Washington Pediatric'!K42:K42)</f>
        <v>22926720.004688445</v>
      </c>
      <c r="M31" s="74">
        <f t="shared" si="2"/>
        <v>16399966.550513081</v>
      </c>
      <c r="N31" s="36"/>
      <c r="O31" s="36"/>
    </row>
    <row r="32" spans="1:15" x14ac:dyDescent="0.2">
      <c r="A32" s="41" t="s">
        <v>249</v>
      </c>
      <c r="B32" s="41"/>
      <c r="C32" s="27" t="s">
        <v>10</v>
      </c>
      <c r="G32" s="217">
        <f>SUM('#1-Meritus:#5034-Mt Washington Pediatric'!F43:F43)</f>
        <v>5310</v>
      </c>
      <c r="H32" s="217">
        <f>SUM('#1-Meritus:#5034-Mt Washington Pediatric'!G43:G43)</f>
        <v>599</v>
      </c>
      <c r="I32" s="217">
        <f>SUM('#1-Meritus:#5034-Mt Washington Pediatric'!H43:H43)</f>
        <v>3592392.304485938</v>
      </c>
      <c r="J32" s="217">
        <f>SUM('#1-Meritus:#5034-Mt Washington Pediatric'!I43:I43)</f>
        <v>1719434.6345161654</v>
      </c>
      <c r="K32" s="217">
        <f>SUM('#1-Meritus:#5034-Mt Washington Pediatric'!J43:J43)</f>
        <v>49550</v>
      </c>
      <c r="L32" s="217">
        <f>SUM('#1-Meritus:#5034-Mt Washington Pediatric'!K43:K43)</f>
        <v>5262276.9390021041</v>
      </c>
      <c r="M32" s="74">
        <f t="shared" si="2"/>
        <v>3542842.3044859385</v>
      </c>
      <c r="N32" s="36"/>
      <c r="O32" s="36"/>
    </row>
    <row r="33" spans="1:15" x14ac:dyDescent="0.2">
      <c r="A33" s="1" t="s">
        <v>91</v>
      </c>
      <c r="B33" s="41"/>
      <c r="C33" s="363" t="s">
        <v>233</v>
      </c>
      <c r="D33" s="364"/>
      <c r="E33" s="365"/>
      <c r="F33"/>
      <c r="G33" s="217">
        <f>SUM('#1-Meritus:#5034-Mt Washington Pediatric'!F44:F44)</f>
        <v>66223.499884406294</v>
      </c>
      <c r="H33" s="217">
        <f>SUM('#1-Meritus:#5034-Mt Washington Pediatric'!G44:G44)</f>
        <v>4935.9980734382862</v>
      </c>
      <c r="I33" s="217">
        <f>SUM('#1-Meritus:#5034-Mt Washington Pediatric'!H44:H44)</f>
        <v>3702492.7503120862</v>
      </c>
      <c r="J33" s="217">
        <f>SUM('#1-Meritus:#5034-Mt Washington Pediatric'!I44:I44)</f>
        <v>1474545.2993924641</v>
      </c>
      <c r="K33" s="217">
        <f>SUM('#1-Meritus:#5034-Mt Washington Pediatric'!J44:J44)</f>
        <v>36938</v>
      </c>
      <c r="L33" s="217">
        <f>SUM('#1-Meritus:#5034-Mt Washington Pediatric'!K44:K44)</f>
        <v>5140100.0497045508</v>
      </c>
      <c r="M33" s="74">
        <f t="shared" si="2"/>
        <v>3665554.7503120867</v>
      </c>
      <c r="N33" s="36"/>
      <c r="O33" s="36"/>
    </row>
    <row r="34" spans="1:15" x14ac:dyDescent="0.2">
      <c r="A34" s="1" t="s">
        <v>139</v>
      </c>
      <c r="C34" s="363" t="s">
        <v>233</v>
      </c>
      <c r="D34" s="364"/>
      <c r="E34" s="365"/>
      <c r="F34"/>
      <c r="G34" s="217">
        <f>SUM('#1-Meritus:#5034-Mt Washington Pediatric'!F45:F45)</f>
        <v>44962</v>
      </c>
      <c r="H34" s="217">
        <f>SUM('#1-Meritus:#5034-Mt Washington Pediatric'!G45:G45)</f>
        <v>6725</v>
      </c>
      <c r="I34" s="217">
        <f>SUM('#1-Meritus:#5034-Mt Washington Pediatric'!H45:H45)</f>
        <v>2426537.42</v>
      </c>
      <c r="J34" s="217">
        <f>SUM('#1-Meritus:#5034-Mt Washington Pediatric'!I45:I45)</f>
        <v>52239.921808722567</v>
      </c>
      <c r="K34" s="217">
        <f>SUM('#1-Meritus:#5034-Mt Washington Pediatric'!J45:J45)</f>
        <v>2283876.5499999998</v>
      </c>
      <c r="L34" s="217">
        <f>SUM('#1-Meritus:#5034-Mt Washington Pediatric'!K45:K45)</f>
        <v>194900.79180872269</v>
      </c>
      <c r="M34" s="74">
        <f t="shared" si="2"/>
        <v>142660.87000000011</v>
      </c>
      <c r="N34" s="36"/>
      <c r="O34" s="36"/>
    </row>
    <row r="35" spans="1:15" x14ac:dyDescent="0.2">
      <c r="A35" s="1" t="s">
        <v>140</v>
      </c>
      <c r="C35" s="363" t="s">
        <v>233</v>
      </c>
      <c r="D35" s="364"/>
      <c r="E35" s="365"/>
      <c r="F35"/>
      <c r="G35" s="217">
        <f>SUM('#1-Meritus:#5034-Mt Washington Pediatric'!F46:F46)</f>
        <v>252</v>
      </c>
      <c r="H35" s="217">
        <f>SUM('#1-Meritus:#5034-Mt Washington Pediatric'!G46:G46)</f>
        <v>1000</v>
      </c>
      <c r="I35" s="217">
        <f>SUM('#1-Meritus:#5034-Mt Washington Pediatric'!H46:H46)</f>
        <v>43034.14</v>
      </c>
      <c r="J35" s="217">
        <f>SUM('#1-Meritus:#5034-Mt Washington Pediatric'!I46:I46)</f>
        <v>30317.551630000002</v>
      </c>
      <c r="K35" s="217">
        <f>SUM('#1-Meritus:#5034-Mt Washington Pediatric'!J46:J46)</f>
        <v>63239.08</v>
      </c>
      <c r="L35" s="217">
        <f>SUM('#1-Meritus:#5034-Mt Washington Pediatric'!K46:K46)</f>
        <v>10112.611629999999</v>
      </c>
      <c r="M35" s="74">
        <f t="shared" si="2"/>
        <v>-20204.940000000002</v>
      </c>
      <c r="N35" s="36"/>
      <c r="O35" s="36"/>
    </row>
    <row r="36" spans="1:15" x14ac:dyDescent="0.2">
      <c r="A36" s="1" t="s">
        <v>141</v>
      </c>
      <c r="C36" s="363" t="s">
        <v>233</v>
      </c>
      <c r="D36" s="364"/>
      <c r="E36" s="365"/>
      <c r="F36"/>
      <c r="G36" s="217">
        <f>SUM('#1-Meritus:#5034-Mt Washington Pediatric'!F47:F47)</f>
        <v>0</v>
      </c>
      <c r="H36" s="217">
        <f>SUM('#1-Meritus:#5034-Mt Washington Pediatric'!G47:G47)</f>
        <v>0</v>
      </c>
      <c r="I36" s="217">
        <f>SUM('#1-Meritus:#5034-Mt Washington Pediatric'!H47:H47)</f>
        <v>0</v>
      </c>
      <c r="J36" s="217">
        <f>SUM('#1-Meritus:#5034-Mt Washington Pediatric'!I47:I47)</f>
        <v>0</v>
      </c>
      <c r="K36" s="217">
        <f>SUM('#1-Meritus:#5034-Mt Washington Pediatric'!J47:J47)</f>
        <v>0</v>
      </c>
      <c r="L36" s="217">
        <f>SUM('#1-Meritus:#5034-Mt Washington Pediatric'!K47:K47)</f>
        <v>0</v>
      </c>
      <c r="M36" s="74">
        <f t="shared" si="2"/>
        <v>0</v>
      </c>
      <c r="N36" s="36"/>
      <c r="O36" s="36"/>
    </row>
    <row r="37" spans="1:15" x14ac:dyDescent="0.2">
      <c r="A37" s="80"/>
      <c r="C37" s="81"/>
      <c r="D37" s="81"/>
      <c r="E37" s="81"/>
      <c r="F37" s="211"/>
      <c r="G37" s="79"/>
      <c r="H37" s="79"/>
      <c r="I37" s="82"/>
      <c r="J37" s="82"/>
      <c r="K37" s="82"/>
      <c r="L37" s="82"/>
      <c r="M37" s="82"/>
      <c r="N37" s="36"/>
      <c r="O37" s="36"/>
    </row>
    <row r="38" spans="1:15" x14ac:dyDescent="0.2">
      <c r="A38" s="30" t="s">
        <v>142</v>
      </c>
      <c r="B38" s="30"/>
      <c r="C38" s="35" t="s">
        <v>225</v>
      </c>
      <c r="G38" s="37">
        <f>SUM(G29:G36)</f>
        <v>4897638.3404374365</v>
      </c>
      <c r="H38" s="37">
        <f t="shared" ref="H38" si="3">SUM(H29:H36)</f>
        <v>121081.70015677162</v>
      </c>
      <c r="I38" s="217">
        <f>SUM('#1-Meritus:#5034-Mt Washington Pediatric'!H49:H49)</f>
        <v>395305915.12682933</v>
      </c>
      <c r="J38" s="217">
        <f>SUM('#1-Meritus:#5034-Mt Washington Pediatric'!I49:I49)</f>
        <v>168947286.99831146</v>
      </c>
      <c r="K38" s="217">
        <f>SUM('#1-Meritus:#5034-Mt Washington Pediatric'!J49:J49)</f>
        <v>3253657.5202500001</v>
      </c>
      <c r="L38" s="217">
        <f>SUM('#1-Meritus:#5034-Mt Washington Pediatric'!K49:K49)</f>
        <v>560999544.60489106</v>
      </c>
      <c r="M38" s="74">
        <f t="shared" si="2"/>
        <v>392052257.6065796</v>
      </c>
      <c r="N38" s="36"/>
      <c r="O38" s="36"/>
    </row>
    <row r="39" spans="1:15" x14ac:dyDescent="0.2">
      <c r="A39" s="30"/>
      <c r="B39" s="30"/>
      <c r="G39" s="36"/>
      <c r="H39" s="36"/>
      <c r="I39" s="36"/>
      <c r="J39" s="36"/>
      <c r="K39" s="36"/>
      <c r="L39" s="36"/>
      <c r="M39" s="36"/>
      <c r="N39" s="36"/>
      <c r="O39" s="36"/>
    </row>
    <row r="40" spans="1:15" x14ac:dyDescent="0.2">
      <c r="A40" s="30"/>
      <c r="B40" s="30"/>
      <c r="G40" s="36"/>
      <c r="H40" s="36"/>
      <c r="I40" s="36"/>
      <c r="J40" s="36"/>
      <c r="K40" s="36"/>
      <c r="L40" s="36"/>
      <c r="M40" s="36"/>
      <c r="N40" s="36"/>
      <c r="O40" s="36"/>
    </row>
    <row r="41" spans="1:15" ht="38.25" x14ac:dyDescent="0.2">
      <c r="A41" s="30"/>
      <c r="B41" s="30"/>
      <c r="G41" s="32" t="s">
        <v>9</v>
      </c>
      <c r="H41" s="32" t="s">
        <v>37</v>
      </c>
      <c r="I41" s="32" t="s">
        <v>398</v>
      </c>
      <c r="J41" s="32" t="s">
        <v>399</v>
      </c>
      <c r="K41" s="33" t="s">
        <v>215</v>
      </c>
      <c r="L41" s="38" t="s">
        <v>396</v>
      </c>
      <c r="M41" s="32" t="s">
        <v>397</v>
      </c>
      <c r="N41" s="36"/>
      <c r="O41" s="36"/>
    </row>
    <row r="42" spans="1:15" x14ac:dyDescent="0.2">
      <c r="A42" s="29" t="s">
        <v>401</v>
      </c>
      <c r="B42" s="30"/>
      <c r="C42" s="50" t="s">
        <v>402</v>
      </c>
      <c r="K42" s="39"/>
      <c r="L42" s="40"/>
      <c r="N42" s="36"/>
      <c r="O42" s="36"/>
    </row>
    <row r="43" spans="1:15" x14ac:dyDescent="0.2">
      <c r="B43" s="29"/>
      <c r="C43" s="35" t="s">
        <v>225</v>
      </c>
      <c r="D43" s="50"/>
      <c r="E43" s="50"/>
      <c r="F43" s="50"/>
      <c r="G43" s="217">
        <f>SUM('#1-Meritus:#5034-Mt Washington Pediatric'!F64:F64)</f>
        <v>4175633.5808559214</v>
      </c>
      <c r="H43" s="217">
        <f>SUM('#1-Meritus:#5034-Mt Washington Pediatric'!G64:G64)</f>
        <v>1643854.2480000001</v>
      </c>
      <c r="I43" s="217">
        <f>SUM('#1-Meritus:#5034-Mt Washington Pediatric'!H64:H64)</f>
        <v>750879444.03681707</v>
      </c>
      <c r="J43" s="217">
        <f>SUM('#1-Meritus:#5034-Mt Washington Pediatric'!I64:I64)</f>
        <v>113537965.22763591</v>
      </c>
      <c r="K43" s="217">
        <f>SUM('#1-Meritus:#5034-Mt Washington Pediatric'!J64:J64)</f>
        <v>249375450.96999997</v>
      </c>
      <c r="L43" s="217">
        <f>SUM('#1-Meritus:#5034-Mt Washington Pediatric'!K64:K64)</f>
        <v>615041958.3044529</v>
      </c>
      <c r="M43" s="74">
        <f>L43-J43</f>
        <v>501503993.07681698</v>
      </c>
      <c r="N43" s="36"/>
      <c r="O43" s="36"/>
    </row>
    <row r="44" spans="1:15" x14ac:dyDescent="0.2">
      <c r="A44" s="41"/>
      <c r="B44" s="41"/>
      <c r="G44" s="51"/>
      <c r="H44" s="51"/>
      <c r="I44" s="51"/>
      <c r="J44" s="51"/>
      <c r="K44" s="51"/>
      <c r="L44" s="51"/>
      <c r="M44" s="52"/>
      <c r="N44" s="36"/>
      <c r="O44" s="36"/>
    </row>
    <row r="45" spans="1:15" x14ac:dyDescent="0.2">
      <c r="A45" s="41"/>
      <c r="B45" s="41"/>
      <c r="K45" s="39"/>
      <c r="L45" s="40"/>
      <c r="M45" s="36"/>
      <c r="N45" s="36"/>
      <c r="O45" s="36"/>
    </row>
    <row r="46" spans="1:15" ht="45.75" customHeight="1" x14ac:dyDescent="0.2">
      <c r="A46" s="29" t="s">
        <v>403</v>
      </c>
      <c r="B46" s="30"/>
      <c r="C46" s="35" t="s">
        <v>12</v>
      </c>
      <c r="G46" s="32" t="s">
        <v>9</v>
      </c>
      <c r="H46" s="32" t="s">
        <v>37</v>
      </c>
      <c r="I46" s="32" t="s">
        <v>398</v>
      </c>
      <c r="J46" s="32" t="s">
        <v>399</v>
      </c>
      <c r="K46" s="33" t="s">
        <v>215</v>
      </c>
      <c r="L46" s="38" t="s">
        <v>396</v>
      </c>
      <c r="M46" s="32" t="s">
        <v>397</v>
      </c>
      <c r="N46" s="36"/>
      <c r="O46" s="36"/>
    </row>
    <row r="47" spans="1:15" x14ac:dyDescent="0.2">
      <c r="A47" s="41" t="s">
        <v>251</v>
      </c>
      <c r="B47" s="30"/>
      <c r="C47" s="35" t="s">
        <v>52</v>
      </c>
      <c r="G47" s="403">
        <f>SUM('#1-Meritus:#5034-Mt Washington Pediatric'!F68:F68)</f>
        <v>102647.28</v>
      </c>
      <c r="H47" s="403">
        <f>SUM('#1-Meritus:#5034-Mt Washington Pediatric'!G68:G68)</f>
        <v>2716</v>
      </c>
      <c r="I47" s="403">
        <f>SUM('#1-Meritus:#5034-Mt Washington Pediatric'!H68:H68)</f>
        <v>11008169.15</v>
      </c>
      <c r="J47" s="403">
        <f>SUM('#1-Meritus:#5034-Mt Washington Pediatric'!I68:I68)</f>
        <v>1469686.216848748</v>
      </c>
      <c r="K47" s="403">
        <f>SUM('#1-Meritus:#5034-Mt Washington Pediatric'!J68:J68)</f>
        <v>4553422.9899999993</v>
      </c>
      <c r="L47" s="403">
        <f>SUM('#1-Meritus:#5034-Mt Washington Pediatric'!K68:K68)</f>
        <v>7924432.376848748</v>
      </c>
      <c r="M47" s="78">
        <f>L47-J47</f>
        <v>6454746.1600000001</v>
      </c>
      <c r="N47" s="36"/>
      <c r="O47" s="36"/>
    </row>
    <row r="48" spans="1:15" x14ac:dyDescent="0.2">
      <c r="A48" s="41" t="s">
        <v>252</v>
      </c>
      <c r="B48" s="29"/>
      <c r="C48" s="35" t="s">
        <v>53</v>
      </c>
      <c r="G48" s="403">
        <f>SUM('#1-Meritus:#5034-Mt Washington Pediatric'!F69:F69)</f>
        <v>23146.5</v>
      </c>
      <c r="H48" s="403">
        <f>SUM('#1-Meritus:#5034-Mt Washington Pediatric'!G69:G69)</f>
        <v>3816</v>
      </c>
      <c r="I48" s="403">
        <f>SUM('#1-Meritus:#5034-Mt Washington Pediatric'!H69:H69)</f>
        <v>1309028.72</v>
      </c>
      <c r="J48" s="403">
        <f>SUM('#1-Meritus:#5034-Mt Washington Pediatric'!I69:I69)</f>
        <v>360092.75899999996</v>
      </c>
      <c r="K48" s="403">
        <f>SUM('#1-Meritus:#5034-Mt Washington Pediatric'!J69:J69)</f>
        <v>153809</v>
      </c>
      <c r="L48" s="403">
        <f>SUM('#1-Meritus:#5034-Mt Washington Pediatric'!K69:K69)</f>
        <v>1515312.4790000001</v>
      </c>
      <c r="M48" s="78">
        <f>L48-J48</f>
        <v>1155219.7200000002</v>
      </c>
      <c r="N48" s="36"/>
      <c r="O48" s="36"/>
    </row>
    <row r="49" spans="1:15" x14ac:dyDescent="0.2">
      <c r="A49" s="41" t="s">
        <v>329</v>
      </c>
      <c r="B49" s="41"/>
      <c r="C49" s="35" t="s">
        <v>233</v>
      </c>
      <c r="D49" s="35"/>
      <c r="E49" s="35"/>
      <c r="F49" s="35"/>
      <c r="G49" s="403">
        <f>SUM('#1-Meritus:#5034-Mt Washington Pediatric'!F70:F70)</f>
        <v>22947</v>
      </c>
      <c r="H49" s="403">
        <f>SUM('#1-Meritus:#5034-Mt Washington Pediatric'!G70:G70)</f>
        <v>0</v>
      </c>
      <c r="I49" s="403">
        <f>SUM('#1-Meritus:#5034-Mt Washington Pediatric'!H70:H70)</f>
        <v>1789316.24</v>
      </c>
      <c r="J49" s="403">
        <f>SUM('#1-Meritus:#5034-Mt Washington Pediatric'!I70:I70)</f>
        <v>376132.04647667322</v>
      </c>
      <c r="K49" s="403">
        <f>SUM('#1-Meritus:#5034-Mt Washington Pediatric'!J70:J70)</f>
        <v>0</v>
      </c>
      <c r="L49" s="403">
        <f>SUM('#1-Meritus:#5034-Mt Washington Pediatric'!K70:K70)</f>
        <v>2165448.2864766736</v>
      </c>
      <c r="M49" s="78">
        <f>L49-J49</f>
        <v>1789316.2400000002</v>
      </c>
      <c r="N49" s="36"/>
      <c r="O49" s="36"/>
    </row>
    <row r="50" spans="1:15" x14ac:dyDescent="0.2">
      <c r="D50" s="35"/>
      <c r="E50" s="35"/>
      <c r="F50" s="35"/>
      <c r="G50" s="58"/>
      <c r="H50" s="58"/>
      <c r="I50" s="58"/>
      <c r="J50" s="58"/>
      <c r="K50" s="58"/>
      <c r="L50" s="58"/>
      <c r="M50" s="58"/>
      <c r="N50" s="36"/>
      <c r="O50" s="36"/>
    </row>
    <row r="51" spans="1:15" x14ac:dyDescent="0.2">
      <c r="A51" s="41" t="s">
        <v>146</v>
      </c>
      <c r="B51" s="41"/>
      <c r="C51" s="35" t="s">
        <v>225</v>
      </c>
      <c r="G51" s="53">
        <f>SUM(G47:G49)</f>
        <v>148740.78</v>
      </c>
      <c r="H51" s="53">
        <f t="shared" ref="H51:M51" si="4">SUM(H47:H49)</f>
        <v>6532</v>
      </c>
      <c r="I51" s="403">
        <f>SUM('#1-Meritus:#5034-Mt Washington Pediatric'!H74:H74)</f>
        <v>14106514.109999999</v>
      </c>
      <c r="J51" s="403">
        <f>SUM('#1-Meritus:#5034-Mt Washington Pediatric'!I74:I74)</f>
        <v>2205911.0223254212</v>
      </c>
      <c r="K51" s="403">
        <f>SUM('#1-Meritus:#5034-Mt Washington Pediatric'!J74:J74)</f>
        <v>4707231.9899999993</v>
      </c>
      <c r="L51" s="403">
        <f>SUM('#1-Meritus:#5034-Mt Washington Pediatric'!K74:K74)</f>
        <v>11605193.142325422</v>
      </c>
      <c r="M51" s="78">
        <f t="shared" si="4"/>
        <v>9399282.120000001</v>
      </c>
      <c r="N51" s="36"/>
      <c r="O51" s="36"/>
    </row>
    <row r="52" spans="1:15" x14ac:dyDescent="0.2">
      <c r="A52" s="41"/>
      <c r="B52" s="41"/>
      <c r="G52" s="54"/>
      <c r="H52" s="54"/>
      <c r="I52" s="54"/>
      <c r="J52" s="54"/>
      <c r="K52" s="54"/>
      <c r="L52" s="54"/>
      <c r="M52" s="47"/>
      <c r="N52" s="36"/>
      <c r="O52" s="36"/>
    </row>
    <row r="53" spans="1:15" ht="46.5" customHeight="1" x14ac:dyDescent="0.25">
      <c r="A53" s="30" t="s">
        <v>404</v>
      </c>
      <c r="B53" s="30"/>
      <c r="C53" s="55" t="s">
        <v>68</v>
      </c>
      <c r="G53" s="32" t="s">
        <v>9</v>
      </c>
      <c r="H53" s="32" t="s">
        <v>37</v>
      </c>
      <c r="I53" s="56" t="s">
        <v>398</v>
      </c>
      <c r="J53" s="56" t="s">
        <v>399</v>
      </c>
      <c r="K53" s="33" t="s">
        <v>215</v>
      </c>
      <c r="L53" s="38" t="s">
        <v>396</v>
      </c>
      <c r="M53" s="32" t="s">
        <v>397</v>
      </c>
      <c r="N53" s="36"/>
      <c r="O53" s="36"/>
    </row>
    <row r="54" spans="1:15" ht="15.75" x14ac:dyDescent="0.25">
      <c r="A54" s="30"/>
      <c r="B54" s="30"/>
      <c r="C54" s="55"/>
      <c r="K54" s="39"/>
      <c r="L54" s="40"/>
      <c r="N54" s="36"/>
      <c r="O54" s="36"/>
    </row>
    <row r="55" spans="1:15" x14ac:dyDescent="0.2">
      <c r="A55" s="41" t="s">
        <v>253</v>
      </c>
      <c r="B55" s="30"/>
      <c r="C55" s="29" t="s">
        <v>54</v>
      </c>
      <c r="G55" s="217">
        <f>SUM('#1-Meritus:#5034-Mt Washington Pediatric'!F77:F77)</f>
        <v>661.09013600402238</v>
      </c>
      <c r="H55" s="217">
        <f>SUM('#1-Meritus:#5034-Mt Washington Pediatric'!G77:G77)</f>
        <v>5587</v>
      </c>
      <c r="I55" s="217">
        <f>SUM('#1-Meritus:#5034-Mt Washington Pediatric'!H77:H77)</f>
        <v>9087468.3499999978</v>
      </c>
      <c r="J55" s="217">
        <f>SUM('#1-Meritus:#5034-Mt Washington Pediatric'!I77:I77)</f>
        <v>107049.06804720896</v>
      </c>
      <c r="K55" s="217">
        <f>SUM('#1-Meritus:#5034-Mt Washington Pediatric'!J77:J77)</f>
        <v>74886</v>
      </c>
      <c r="L55" s="217">
        <f>SUM('#1-Meritus:#5034-Mt Washington Pediatric'!K77:K77)</f>
        <v>9119631.4180472102</v>
      </c>
      <c r="M55" s="74">
        <f>L55-J55</f>
        <v>9012582.3500000015</v>
      </c>
      <c r="N55" s="36"/>
      <c r="O55" s="36"/>
    </row>
    <row r="56" spans="1:15" x14ac:dyDescent="0.2">
      <c r="A56" s="41" t="s">
        <v>254</v>
      </c>
      <c r="B56" s="29"/>
      <c r="C56" s="29" t="s">
        <v>55</v>
      </c>
      <c r="G56" s="217">
        <f>SUM('#1-Meritus:#5034-Mt Washington Pediatric'!F78:F78)</f>
        <v>3691.5</v>
      </c>
      <c r="H56" s="217">
        <f>SUM('#1-Meritus:#5034-Mt Washington Pediatric'!G78:G78)</f>
        <v>456</v>
      </c>
      <c r="I56" s="217">
        <f>SUM('#1-Meritus:#5034-Mt Washington Pediatric'!H78:H78)</f>
        <v>452485.92176765029</v>
      </c>
      <c r="J56" s="217">
        <f>SUM('#1-Meritus:#5034-Mt Washington Pediatric'!I78:I78)</f>
        <v>20201.180567999796</v>
      </c>
      <c r="K56" s="217">
        <f>SUM('#1-Meritus:#5034-Mt Washington Pediatric'!J78:J78)</f>
        <v>158457</v>
      </c>
      <c r="L56" s="217">
        <f>SUM('#1-Meritus:#5034-Mt Washington Pediatric'!K78:K78)</f>
        <v>314230.10233565007</v>
      </c>
      <c r="M56" s="74">
        <f>L56-J56</f>
        <v>294028.92176765029</v>
      </c>
      <c r="N56" s="36"/>
      <c r="O56" s="36"/>
    </row>
    <row r="57" spans="1:15" x14ac:dyDescent="0.2">
      <c r="A57" s="41" t="s">
        <v>255</v>
      </c>
      <c r="B57" s="41"/>
      <c r="C57" s="29" t="s">
        <v>13</v>
      </c>
      <c r="G57" s="217">
        <f>SUM('#1-Meritus:#5034-Mt Washington Pediatric'!F79:F79)</f>
        <v>22240.308734979219</v>
      </c>
      <c r="H57" s="217">
        <f>SUM('#1-Meritus:#5034-Mt Washington Pediatric'!G79:G79)</f>
        <v>108893.5</v>
      </c>
      <c r="I57" s="217">
        <f>SUM('#1-Meritus:#5034-Mt Washington Pediatric'!H79:H79)</f>
        <v>4012083.5045295013</v>
      </c>
      <c r="J57" s="217">
        <f>SUM('#1-Meritus:#5034-Mt Washington Pediatric'!I79:I79)</f>
        <v>379433.55976949306</v>
      </c>
      <c r="K57" s="217">
        <f>SUM('#1-Meritus:#5034-Mt Washington Pediatric'!J79:J79)</f>
        <v>188397</v>
      </c>
      <c r="L57" s="217">
        <f>SUM('#1-Meritus:#5034-Mt Washington Pediatric'!K79:K79)</f>
        <v>4203120.0642989939</v>
      </c>
      <c r="M57" s="74">
        <f>L57-J57</f>
        <v>3823686.5045295008</v>
      </c>
      <c r="N57" s="36"/>
      <c r="O57" s="36"/>
    </row>
    <row r="58" spans="1:15" x14ac:dyDescent="0.2">
      <c r="A58" s="41" t="s">
        <v>256</v>
      </c>
      <c r="B58" s="41"/>
      <c r="C58" s="29" t="s">
        <v>56</v>
      </c>
      <c r="G58" s="217">
        <f>SUM('#1-Meritus:#5034-Mt Washington Pediatric'!F80:F80)</f>
        <v>3078</v>
      </c>
      <c r="H58" s="217">
        <f>SUM('#1-Meritus:#5034-Mt Washington Pediatric'!G80:G80)</f>
        <v>5004</v>
      </c>
      <c r="I58" s="217">
        <f>SUM('#1-Meritus:#5034-Mt Washington Pediatric'!H80:H80)</f>
        <v>446192.43</v>
      </c>
      <c r="J58" s="217">
        <f>SUM('#1-Meritus:#5034-Mt Washington Pediatric'!I80:I80)</f>
        <v>256493.18403099998</v>
      </c>
      <c r="K58" s="217">
        <f>SUM('#1-Meritus:#5034-Mt Washington Pediatric'!J80:J80)</f>
        <v>0</v>
      </c>
      <c r="L58" s="217">
        <f>SUM('#1-Meritus:#5034-Mt Washington Pediatric'!K80:K80)</f>
        <v>702685.61403099995</v>
      </c>
      <c r="M58" s="74">
        <f>L58-J58</f>
        <v>446192.42999999993</v>
      </c>
      <c r="N58" s="36"/>
      <c r="O58" s="36"/>
    </row>
    <row r="59" spans="1:15" x14ac:dyDescent="0.2">
      <c r="A59" s="41"/>
      <c r="B59" s="41"/>
      <c r="C59" s="57"/>
      <c r="G59" s="58"/>
      <c r="H59" s="58"/>
      <c r="I59" s="58"/>
      <c r="J59" s="58"/>
      <c r="K59" s="58"/>
      <c r="L59" s="58"/>
      <c r="M59" s="42"/>
      <c r="N59" s="36"/>
      <c r="O59" s="36"/>
    </row>
    <row r="60" spans="1:15" x14ac:dyDescent="0.2">
      <c r="A60" s="41" t="s">
        <v>148</v>
      </c>
      <c r="B60" s="41"/>
      <c r="C60" s="29" t="s">
        <v>225</v>
      </c>
      <c r="D60" s="57"/>
      <c r="E60" s="57"/>
      <c r="F60" s="57"/>
      <c r="G60" s="53">
        <f>SUM(G55:G59)</f>
        <v>29670.898870983241</v>
      </c>
      <c r="H60" s="53">
        <f t="shared" ref="H60:M60" si="5">SUM(H55:H59)</f>
        <v>119940.5</v>
      </c>
      <c r="I60" s="217">
        <f>SUM('#1-Meritus:#5034-Mt Washington Pediatric'!H82:H82)</f>
        <v>13998230.206297154</v>
      </c>
      <c r="J60" s="217">
        <f>SUM('#1-Meritus:#5034-Mt Washington Pediatric'!I82:I82)</f>
        <v>763176.99241570185</v>
      </c>
      <c r="K60" s="217">
        <f>SUM('#1-Meritus:#5034-Mt Washington Pediatric'!J82:J82)</f>
        <v>421740</v>
      </c>
      <c r="L60" s="217">
        <f>SUM('#1-Meritus:#5034-Mt Washington Pediatric'!K82:K82)</f>
        <v>14339667.198712854</v>
      </c>
      <c r="M60" s="78">
        <f t="shared" si="5"/>
        <v>13576490.206297152</v>
      </c>
      <c r="N60" s="36"/>
      <c r="O60" s="36"/>
    </row>
    <row r="61" spans="1:15" x14ac:dyDescent="0.2">
      <c r="A61" s="41"/>
      <c r="B61" s="41"/>
      <c r="C61" s="29"/>
      <c r="D61" s="57"/>
      <c r="E61" s="57"/>
      <c r="F61" s="57"/>
      <c r="G61" s="59"/>
      <c r="H61" s="59"/>
      <c r="I61" s="59"/>
      <c r="J61" s="59"/>
      <c r="K61" s="59"/>
      <c r="L61" s="59"/>
      <c r="M61" s="59"/>
      <c r="N61" s="36"/>
      <c r="O61" s="36"/>
    </row>
    <row r="62" spans="1:15" x14ac:dyDescent="0.2">
      <c r="A62" s="41"/>
      <c r="G62" s="44"/>
      <c r="H62" s="44"/>
      <c r="I62" s="45"/>
      <c r="J62" s="45"/>
      <c r="K62" s="45"/>
      <c r="L62" s="45"/>
      <c r="M62" s="45"/>
      <c r="N62" s="36"/>
      <c r="O62" s="36"/>
    </row>
    <row r="63" spans="1:15" x14ac:dyDescent="0.2">
      <c r="A63" s="41"/>
      <c r="B63" s="41"/>
      <c r="C63" s="29"/>
      <c r="K63" s="39"/>
      <c r="L63" s="40"/>
      <c r="N63" s="36"/>
      <c r="O63" s="36"/>
    </row>
    <row r="64" spans="1:15" ht="41.25" customHeight="1" x14ac:dyDescent="0.2">
      <c r="A64" s="29" t="s">
        <v>405</v>
      </c>
      <c r="B64" s="41"/>
      <c r="C64" s="35" t="s">
        <v>57</v>
      </c>
      <c r="G64" s="32" t="s">
        <v>9</v>
      </c>
      <c r="H64" s="32" t="s">
        <v>37</v>
      </c>
      <c r="I64" s="32" t="s">
        <v>398</v>
      </c>
      <c r="J64" s="32" t="s">
        <v>399</v>
      </c>
      <c r="K64" s="33" t="s">
        <v>215</v>
      </c>
      <c r="L64" s="38" t="s">
        <v>396</v>
      </c>
      <c r="M64" s="32" t="s">
        <v>397</v>
      </c>
      <c r="N64" s="36"/>
      <c r="O64" s="36"/>
    </row>
    <row r="65" spans="1:15" x14ac:dyDescent="0.2">
      <c r="K65" s="39"/>
      <c r="L65" s="40"/>
      <c r="N65" s="36"/>
      <c r="O65" s="36"/>
    </row>
    <row r="66" spans="1:15" x14ac:dyDescent="0.2">
      <c r="A66" s="41" t="s">
        <v>257</v>
      </c>
      <c r="B66" s="30"/>
      <c r="C66" s="35" t="s">
        <v>406</v>
      </c>
      <c r="G66" s="217">
        <f>SUM('#1-Meritus:#5034-Mt Washington Pediatric'!F86:F86)</f>
        <v>29486</v>
      </c>
      <c r="H66" s="217">
        <f>SUM('#1-Meritus:#5034-Mt Washington Pediatric'!G86:G86)</f>
        <v>7517</v>
      </c>
      <c r="I66" s="217">
        <f>SUM('#1-Meritus:#5034-Mt Washington Pediatric'!H86:H86)</f>
        <v>6429677.4606985422</v>
      </c>
      <c r="J66" s="217">
        <f>SUM('#1-Meritus:#5034-Mt Washington Pediatric'!I86:I86)</f>
        <v>5884272.8301215032</v>
      </c>
      <c r="K66" s="217">
        <f>SUM('#1-Meritus:#5034-Mt Washington Pediatric'!J86:J86)</f>
        <v>4652100</v>
      </c>
      <c r="L66" s="217">
        <f>SUM('#1-Meritus:#5034-Mt Washington Pediatric'!K86:K86)</f>
        <v>7661850.2908200463</v>
      </c>
      <c r="M66" s="74">
        <f>L66-J66</f>
        <v>1777577.4606985431</v>
      </c>
      <c r="N66" s="36"/>
      <c r="O66" s="36"/>
    </row>
    <row r="67" spans="1:15" x14ac:dyDescent="0.2">
      <c r="A67" s="41" t="s">
        <v>258</v>
      </c>
      <c r="B67" s="29"/>
      <c r="C67" s="35" t="s">
        <v>14</v>
      </c>
      <c r="D67" s="35"/>
      <c r="E67" s="35"/>
      <c r="F67" s="35"/>
      <c r="G67" s="217">
        <f>SUM('#1-Meritus:#5034-Mt Washington Pediatric'!F87:F87)</f>
        <v>3451.4994327135614</v>
      </c>
      <c r="H67" s="217">
        <f>SUM('#1-Meritus:#5034-Mt Washington Pediatric'!G87:G87)</f>
        <v>3944</v>
      </c>
      <c r="I67" s="217">
        <f>SUM('#1-Meritus:#5034-Mt Washington Pediatric'!H87:H87)</f>
        <v>2451587.7147462238</v>
      </c>
      <c r="J67" s="217">
        <f>SUM('#1-Meritus:#5034-Mt Washington Pediatric'!I87:I87)</f>
        <v>193625.69368463365</v>
      </c>
      <c r="K67" s="217">
        <f>SUM('#1-Meritus:#5034-Mt Washington Pediatric'!J87:J87)</f>
        <v>13186</v>
      </c>
      <c r="L67" s="217">
        <f>SUM('#1-Meritus:#5034-Mt Washington Pediatric'!K87:K87)</f>
        <v>2632027.4084308571</v>
      </c>
      <c r="M67" s="74">
        <f t="shared" ref="M67:M76" si="6">L67-J67</f>
        <v>2438401.7147462233</v>
      </c>
      <c r="N67" s="36"/>
      <c r="O67" s="36"/>
    </row>
    <row r="68" spans="1:15" x14ac:dyDescent="0.2">
      <c r="A68" s="41" t="s">
        <v>259</v>
      </c>
      <c r="B68" s="41"/>
      <c r="C68" s="35" t="s">
        <v>407</v>
      </c>
      <c r="D68" s="35"/>
      <c r="E68" s="35"/>
      <c r="F68" s="35"/>
      <c r="G68" s="217">
        <f>SUM('#1-Meritus:#5034-Mt Washington Pediatric'!F88:F88)</f>
        <v>105083.40000000002</v>
      </c>
      <c r="H68" s="217">
        <f>SUM('#1-Meritus:#5034-Mt Washington Pediatric'!G88:G88)</f>
        <v>30883</v>
      </c>
      <c r="I68" s="217">
        <f>SUM('#1-Meritus:#5034-Mt Washington Pediatric'!H88:H88)</f>
        <v>3432732.1016475945</v>
      </c>
      <c r="J68" s="217">
        <f>SUM('#1-Meritus:#5034-Mt Washington Pediatric'!I88:I88)</f>
        <v>1752443.0203052419</v>
      </c>
      <c r="K68" s="217">
        <f>SUM('#1-Meritus:#5034-Mt Washington Pediatric'!J88:J88)</f>
        <v>777998</v>
      </c>
      <c r="L68" s="217">
        <f>SUM('#1-Meritus:#5034-Mt Washington Pediatric'!K88:K88)</f>
        <v>4407177.1219528355</v>
      </c>
      <c r="M68" s="74">
        <f t="shared" si="6"/>
        <v>2654734.1016475935</v>
      </c>
      <c r="N68" s="36"/>
      <c r="O68" s="36"/>
    </row>
    <row r="69" spans="1:15" x14ac:dyDescent="0.2">
      <c r="A69" s="41" t="s">
        <v>260</v>
      </c>
      <c r="B69" s="41"/>
      <c r="C69" s="35" t="s">
        <v>58</v>
      </c>
      <c r="D69" s="35"/>
      <c r="E69" s="35"/>
      <c r="F69" s="35"/>
      <c r="G69" s="217">
        <f>SUM('#1-Meritus:#5034-Mt Washington Pediatric'!F89:F89)</f>
        <v>13917</v>
      </c>
      <c r="H69" s="217">
        <f>SUM('#1-Meritus:#5034-Mt Washington Pediatric'!G89:G89)</f>
        <v>3382</v>
      </c>
      <c r="I69" s="217">
        <f>SUM('#1-Meritus:#5034-Mt Washington Pediatric'!H89:H89)</f>
        <v>1360048.76</v>
      </c>
      <c r="J69" s="217">
        <f>SUM('#1-Meritus:#5034-Mt Washington Pediatric'!I89:I89)</f>
        <v>592437.16940785514</v>
      </c>
      <c r="K69" s="217">
        <f>SUM('#1-Meritus:#5034-Mt Washington Pediatric'!J89:J89)</f>
        <v>29000</v>
      </c>
      <c r="L69" s="217">
        <f>SUM('#1-Meritus:#5034-Mt Washington Pediatric'!K89:K89)</f>
        <v>1923485.929407855</v>
      </c>
      <c r="M69" s="74">
        <f t="shared" si="6"/>
        <v>1331048.7599999998</v>
      </c>
      <c r="N69" s="36"/>
      <c r="O69" s="36"/>
    </row>
    <row r="70" spans="1:15" x14ac:dyDescent="0.2">
      <c r="A70" s="41" t="s">
        <v>261</v>
      </c>
      <c r="B70" s="41"/>
      <c r="C70" s="34" t="s">
        <v>59</v>
      </c>
      <c r="D70" s="35"/>
      <c r="E70" s="35"/>
      <c r="F70" s="35"/>
      <c r="G70" s="217">
        <f>SUM('#1-Meritus:#5034-Mt Washington Pediatric'!F90:F90)</f>
        <v>3148.7432762996168</v>
      </c>
      <c r="H70" s="217">
        <f>SUM('#1-Meritus:#5034-Mt Washington Pediatric'!G90:G90)</f>
        <v>839</v>
      </c>
      <c r="I70" s="217">
        <f>SUM('#1-Meritus:#5034-Mt Washington Pediatric'!H90:H90)</f>
        <v>117074.28</v>
      </c>
      <c r="J70" s="217">
        <f>SUM('#1-Meritus:#5034-Mt Washington Pediatric'!I90:I90)</f>
        <v>65641.30060815996</v>
      </c>
      <c r="K70" s="217">
        <f>SUM('#1-Meritus:#5034-Mt Washington Pediatric'!J90:J90)</f>
        <v>0</v>
      </c>
      <c r="L70" s="217">
        <f>SUM('#1-Meritus:#5034-Mt Washington Pediatric'!K90:K90)</f>
        <v>182715.58060815997</v>
      </c>
      <c r="M70" s="74">
        <f t="shared" si="6"/>
        <v>117074.28000000001</v>
      </c>
      <c r="N70" s="36"/>
      <c r="O70" s="36"/>
    </row>
    <row r="71" spans="1:15" x14ac:dyDescent="0.2">
      <c r="A71" s="41" t="s">
        <v>262</v>
      </c>
      <c r="B71" s="41"/>
      <c r="C71" s="35" t="s">
        <v>60</v>
      </c>
      <c r="D71" s="61"/>
      <c r="E71" s="61"/>
      <c r="F71" s="61"/>
      <c r="G71" s="217">
        <f>SUM('#1-Meritus:#5034-Mt Washington Pediatric'!F91:F91)</f>
        <v>23610.257034239665</v>
      </c>
      <c r="H71" s="217">
        <f>SUM('#1-Meritus:#5034-Mt Washington Pediatric'!G91:G91)</f>
        <v>7349</v>
      </c>
      <c r="I71" s="217">
        <f>SUM('#1-Meritus:#5034-Mt Washington Pediatric'!H91:H91)</f>
        <v>3233504.5008562212</v>
      </c>
      <c r="J71" s="217">
        <f>SUM('#1-Meritus:#5034-Mt Washington Pediatric'!I91:I91)</f>
        <v>1889267.9893533827</v>
      </c>
      <c r="K71" s="217">
        <f>SUM('#1-Meritus:#5034-Mt Washington Pediatric'!J91:J91)</f>
        <v>110532</v>
      </c>
      <c r="L71" s="217">
        <f>SUM('#1-Meritus:#5034-Mt Washington Pediatric'!K91:K91)</f>
        <v>5012240.4902096037</v>
      </c>
      <c r="M71" s="74">
        <f t="shared" si="6"/>
        <v>3122972.5008562207</v>
      </c>
      <c r="N71" s="36"/>
      <c r="O71" s="36"/>
    </row>
    <row r="72" spans="1:15" x14ac:dyDescent="0.2">
      <c r="A72" s="41" t="s">
        <v>263</v>
      </c>
      <c r="B72" s="41"/>
      <c r="C72" s="35" t="s">
        <v>408</v>
      </c>
      <c r="D72" s="35"/>
      <c r="E72" s="35"/>
      <c r="F72" s="35"/>
      <c r="G72" s="217">
        <f>SUM('#1-Meritus:#5034-Mt Washington Pediatric'!F92:F92)</f>
        <v>7708.5568463506452</v>
      </c>
      <c r="H72" s="217">
        <f>SUM('#1-Meritus:#5034-Mt Washington Pediatric'!G92:G92)</f>
        <v>22966</v>
      </c>
      <c r="I72" s="217">
        <f>SUM('#1-Meritus:#5034-Mt Washington Pediatric'!H92:H92)</f>
        <v>1914328.6010822142</v>
      </c>
      <c r="J72" s="217">
        <f>SUM('#1-Meritus:#5034-Mt Washington Pediatric'!I92:I92)</f>
        <v>1083724.4610696018</v>
      </c>
      <c r="K72" s="217">
        <f>SUM('#1-Meritus:#5034-Mt Washington Pediatric'!J92:J92)</f>
        <v>0</v>
      </c>
      <c r="L72" s="217">
        <f>SUM('#1-Meritus:#5034-Mt Washington Pediatric'!K92:K92)</f>
        <v>2998053.5421518157</v>
      </c>
      <c r="M72" s="74">
        <f t="shared" si="6"/>
        <v>1914329.0810822139</v>
      </c>
      <c r="N72" s="36"/>
      <c r="O72" s="36"/>
    </row>
    <row r="73" spans="1:15" x14ac:dyDescent="0.2">
      <c r="A73" s="41" t="s">
        <v>264</v>
      </c>
      <c r="B73" s="41"/>
      <c r="C73" s="35" t="s">
        <v>409</v>
      </c>
      <c r="D73" s="35"/>
      <c r="E73" s="35"/>
      <c r="F73" s="35"/>
      <c r="G73" s="217">
        <f>SUM('#1-Meritus:#5034-Mt Washington Pediatric'!F93:F93)</f>
        <v>62746.8</v>
      </c>
      <c r="H73" s="217">
        <f>SUM('#1-Meritus:#5034-Mt Washington Pediatric'!G93:G93)</f>
        <v>98489.5</v>
      </c>
      <c r="I73" s="217">
        <f>SUM('#1-Meritus:#5034-Mt Washington Pediatric'!H93:H93)</f>
        <v>3864337.9371921886</v>
      </c>
      <c r="J73" s="217">
        <f>SUM('#1-Meritus:#5034-Mt Washington Pediatric'!I93:I93)</f>
        <v>2223321.6486607501</v>
      </c>
      <c r="K73" s="217">
        <f>SUM('#1-Meritus:#5034-Mt Washington Pediatric'!J93:J93)</f>
        <v>190015</v>
      </c>
      <c r="L73" s="217">
        <f>SUM('#1-Meritus:#5034-Mt Washington Pediatric'!K93:K93)</f>
        <v>5897644.5858529396</v>
      </c>
      <c r="M73" s="74">
        <f t="shared" si="6"/>
        <v>3674322.9371921895</v>
      </c>
      <c r="N73" s="36"/>
      <c r="O73" s="36"/>
    </row>
    <row r="74" spans="1:15" x14ac:dyDescent="0.2">
      <c r="A74" s="41" t="s">
        <v>330</v>
      </c>
      <c r="B74" s="41"/>
      <c r="C74" s="35" t="s">
        <v>233</v>
      </c>
      <c r="D74" s="35"/>
      <c r="E74" s="35"/>
      <c r="F74" s="35"/>
      <c r="G74" s="217">
        <f>SUM('#1-Meritus:#5034-Mt Washington Pediatric'!F94:F94)</f>
        <v>24241</v>
      </c>
      <c r="H74" s="217">
        <f>SUM('#1-Meritus:#5034-Mt Washington Pediatric'!G94:G94)</f>
        <v>120433</v>
      </c>
      <c r="I74" s="217">
        <f>SUM('#1-Meritus:#5034-Mt Washington Pediatric'!H94:H94)</f>
        <v>525780.67999999993</v>
      </c>
      <c r="J74" s="217">
        <f>SUM('#1-Meritus:#5034-Mt Washington Pediatric'!I94:I94)</f>
        <v>300396.40884799999</v>
      </c>
      <c r="K74" s="217">
        <f>SUM('#1-Meritus:#5034-Mt Washington Pediatric'!J94:J94)</f>
        <v>12878</v>
      </c>
      <c r="L74" s="217">
        <f>SUM('#1-Meritus:#5034-Mt Washington Pediatric'!K94:K94)</f>
        <v>813299.08884799993</v>
      </c>
      <c r="M74" s="74">
        <f t="shared" si="6"/>
        <v>512902.67999999993</v>
      </c>
      <c r="N74" s="36"/>
      <c r="O74" s="36"/>
    </row>
    <row r="75" spans="1:15" x14ac:dyDescent="0.2">
      <c r="A75" s="41" t="s">
        <v>112</v>
      </c>
      <c r="B75" s="41"/>
      <c r="C75" s="35" t="s">
        <v>233</v>
      </c>
      <c r="D75" s="35"/>
      <c r="E75" s="35"/>
      <c r="F75" s="35"/>
      <c r="G75" s="217">
        <f>SUM('#1-Meritus:#5034-Mt Washington Pediatric'!F95:F95)</f>
        <v>1750</v>
      </c>
      <c r="H75" s="217">
        <f>SUM('#1-Meritus:#5034-Mt Washington Pediatric'!G95:G95)</f>
        <v>161</v>
      </c>
      <c r="I75" s="217">
        <f>SUM('#1-Meritus:#5034-Mt Washington Pediatric'!H95:H95)</f>
        <v>92361.77</v>
      </c>
      <c r="J75" s="217">
        <f>SUM('#1-Meritus:#5034-Mt Washington Pediatric'!I95:I95)</f>
        <v>61974.299529999997</v>
      </c>
      <c r="K75" s="217">
        <f>SUM('#1-Meritus:#5034-Mt Washington Pediatric'!J95:J95)</f>
        <v>0</v>
      </c>
      <c r="L75" s="217">
        <f>SUM('#1-Meritus:#5034-Mt Washington Pediatric'!K95:K95)</f>
        <v>154336.06952999998</v>
      </c>
      <c r="M75" s="74">
        <f t="shared" si="6"/>
        <v>92361.76999999999</v>
      </c>
      <c r="N75" s="36"/>
      <c r="O75" s="36"/>
    </row>
    <row r="76" spans="1:15" x14ac:dyDescent="0.2">
      <c r="A76" s="41" t="s">
        <v>410</v>
      </c>
      <c r="B76" s="41"/>
      <c r="C76" s="366"/>
      <c r="D76" s="366"/>
      <c r="E76" s="367"/>
      <c r="F76" s="75"/>
      <c r="G76" s="217">
        <f>SUM('#1-Meritus:#5034-Mt Washington Pediatric'!F96:F96)</f>
        <v>563.5</v>
      </c>
      <c r="H76" s="217">
        <f>SUM('#1-Meritus:#5034-Mt Washington Pediatric'!G96:G96)</f>
        <v>0</v>
      </c>
      <c r="I76" s="217">
        <f>SUM('#1-Meritus:#5034-Mt Washington Pediatric'!H96:H96)</f>
        <v>135480</v>
      </c>
      <c r="J76" s="217">
        <f>SUM('#1-Meritus:#5034-Mt Washington Pediatric'!I96:I96)</f>
        <v>93345.719999999987</v>
      </c>
      <c r="K76" s="217">
        <f>SUM('#1-Meritus:#5034-Mt Washington Pediatric'!J96:J96)</f>
        <v>0</v>
      </c>
      <c r="L76" s="217">
        <f>SUM('#1-Meritus:#5034-Mt Washington Pediatric'!K96:K96)</f>
        <v>228825.71999999997</v>
      </c>
      <c r="M76" s="74">
        <f t="shared" si="6"/>
        <v>135480</v>
      </c>
      <c r="N76" s="36"/>
      <c r="O76" s="36"/>
    </row>
    <row r="77" spans="1:15" x14ac:dyDescent="0.2">
      <c r="B77" s="41"/>
      <c r="D77" s="35"/>
      <c r="E77" s="35"/>
      <c r="F77" s="35"/>
      <c r="I77" s="47"/>
      <c r="J77" s="47"/>
      <c r="K77" s="47"/>
      <c r="L77" s="47"/>
      <c r="M77" s="36"/>
      <c r="N77" s="36"/>
      <c r="O77" s="36"/>
    </row>
    <row r="78" spans="1:15" x14ac:dyDescent="0.2">
      <c r="A78" s="29" t="s">
        <v>150</v>
      </c>
      <c r="B78" s="41"/>
      <c r="C78" s="35" t="s">
        <v>225</v>
      </c>
      <c r="G78" s="60">
        <f>SUM(G66:G76)</f>
        <v>275706.75658960349</v>
      </c>
      <c r="H78" s="60">
        <f t="shared" ref="H78:M78" si="7">SUM(H66:H76)</f>
        <v>295963.5</v>
      </c>
      <c r="I78" s="217">
        <f>SUM('#1-Meritus:#5034-Mt Washington Pediatric'!H98:H98)</f>
        <v>23556913.806222979</v>
      </c>
      <c r="J78" s="217">
        <f>SUM('#1-Meritus:#5034-Mt Washington Pediatric'!I98:I98)</f>
        <v>14140450.54158913</v>
      </c>
      <c r="K78" s="217">
        <f>SUM('#1-Meritus:#5034-Mt Washington Pediatric'!J98:J98)</f>
        <v>5785709</v>
      </c>
      <c r="L78" s="217">
        <f>SUM('#1-Meritus:#5034-Mt Washington Pediatric'!K98:K98)</f>
        <v>31911655.827812113</v>
      </c>
      <c r="M78" s="60">
        <f t="shared" si="7"/>
        <v>17771205.286222983</v>
      </c>
      <c r="N78" s="36"/>
      <c r="O78" s="36"/>
    </row>
    <row r="79" spans="1:15" x14ac:dyDescent="0.2">
      <c r="A79" s="41"/>
      <c r="B79" s="41"/>
      <c r="C79" s="35"/>
      <c r="G79" s="51"/>
      <c r="H79" s="51"/>
      <c r="I79" s="51"/>
      <c r="J79" s="51"/>
      <c r="K79" s="51"/>
      <c r="L79" s="51"/>
      <c r="M79" s="51"/>
      <c r="N79" s="36"/>
      <c r="O79" s="36"/>
    </row>
    <row r="80" spans="1:15" x14ac:dyDescent="0.2">
      <c r="A80" s="30"/>
      <c r="B80" s="30"/>
      <c r="C80" s="35"/>
      <c r="K80" s="39"/>
      <c r="L80" s="40"/>
      <c r="N80" s="36"/>
      <c r="O80" s="36"/>
    </row>
    <row r="81" spans="1:15" ht="46.5" customHeight="1" x14ac:dyDescent="0.2">
      <c r="A81" s="35" t="s">
        <v>411</v>
      </c>
      <c r="B81" s="35"/>
      <c r="C81" s="35" t="s">
        <v>63</v>
      </c>
      <c r="G81" s="32" t="s">
        <v>9</v>
      </c>
      <c r="H81" s="32" t="s">
        <v>37</v>
      </c>
      <c r="I81" s="32" t="s">
        <v>398</v>
      </c>
      <c r="J81" s="32" t="s">
        <v>399</v>
      </c>
      <c r="K81" s="33" t="s">
        <v>215</v>
      </c>
      <c r="L81" s="38" t="s">
        <v>396</v>
      </c>
      <c r="M81" s="32" t="s">
        <v>397</v>
      </c>
      <c r="N81" s="36"/>
      <c r="O81" s="36"/>
    </row>
    <row r="82" spans="1:15" x14ac:dyDescent="0.2">
      <c r="A82" s="30"/>
      <c r="B82" s="30"/>
      <c r="C82" s="35"/>
      <c r="K82" s="39"/>
      <c r="L82" s="40"/>
      <c r="N82" s="36"/>
      <c r="O82" s="36"/>
    </row>
    <row r="83" spans="1:15" x14ac:dyDescent="0.2">
      <c r="A83" s="41" t="s">
        <v>265</v>
      </c>
      <c r="B83" s="30"/>
      <c r="C83" s="27" t="s">
        <v>412</v>
      </c>
      <c r="G83" s="217">
        <f>SUM('#1-Meritus:#5034-Mt Washington Pediatric'!F102:F102)</f>
        <v>100125.64372846927</v>
      </c>
      <c r="H83" s="217">
        <f>SUM('#1-Meritus:#5034-Mt Washington Pediatric'!G102:G102)</f>
        <v>1565</v>
      </c>
      <c r="I83" s="217">
        <f>SUM('#1-Meritus:#5034-Mt Washington Pediatric'!H102:H102)</f>
        <v>7165048.9715161761</v>
      </c>
      <c r="J83" s="217">
        <f>SUM('#1-Meritus:#5034-Mt Washington Pediatric'!I102:I102)</f>
        <v>4675413.8457143167</v>
      </c>
      <c r="K83" s="217">
        <f>SUM('#1-Meritus:#5034-Mt Washington Pediatric'!J102:J102)</f>
        <v>44422</v>
      </c>
      <c r="L83" s="217">
        <f>SUM('#1-Meritus:#5034-Mt Washington Pediatric'!K102:K102)</f>
        <v>11796040.817230491</v>
      </c>
      <c r="M83" s="74">
        <f>L83-J83</f>
        <v>7120626.9715161743</v>
      </c>
      <c r="N83" s="36"/>
      <c r="O83" s="36"/>
    </row>
    <row r="84" spans="1:15" x14ac:dyDescent="0.2">
      <c r="A84" s="41" t="s">
        <v>266</v>
      </c>
      <c r="B84" s="29"/>
      <c r="C84" s="48" t="s">
        <v>62</v>
      </c>
      <c r="G84" s="217">
        <f>SUM('#1-Meritus:#5034-Mt Washington Pediatric'!F103:F103)</f>
        <v>5908.5</v>
      </c>
      <c r="H84" s="217">
        <f>SUM('#1-Meritus:#5034-Mt Washington Pediatric'!G103:G103)</f>
        <v>629</v>
      </c>
      <c r="I84" s="217">
        <f>SUM('#1-Meritus:#5034-Mt Washington Pediatric'!H103:H103)</f>
        <v>605455.2652091576</v>
      </c>
      <c r="J84" s="217">
        <f>SUM('#1-Meritus:#5034-Mt Washington Pediatric'!I103:I103)</f>
        <v>265791.14904989843</v>
      </c>
      <c r="K84" s="217">
        <f>SUM('#1-Meritus:#5034-Mt Washington Pediatric'!J103:J103)</f>
        <v>15448</v>
      </c>
      <c r="L84" s="217">
        <f>SUM('#1-Meritus:#5034-Mt Washington Pediatric'!K103:K103)</f>
        <v>855798.4142590561</v>
      </c>
      <c r="M84" s="74">
        <f>L84-J84</f>
        <v>590007.26520915772</v>
      </c>
      <c r="N84" s="36"/>
      <c r="O84" s="36"/>
    </row>
    <row r="85" spans="1:15" x14ac:dyDescent="0.2">
      <c r="A85" s="41" t="s">
        <v>328</v>
      </c>
      <c r="B85" s="41"/>
      <c r="C85" s="27" t="s">
        <v>327</v>
      </c>
      <c r="D85" s="49"/>
      <c r="E85" s="49"/>
      <c r="F85" s="49"/>
      <c r="G85" s="217">
        <f>SUM('#1-Meritus:#5034-Mt Washington Pediatric'!F104:F104)</f>
        <v>7511</v>
      </c>
      <c r="H85" s="217">
        <f>SUM('#1-Meritus:#5034-Mt Washington Pediatric'!G104:G104)</f>
        <v>500</v>
      </c>
      <c r="I85" s="217">
        <f>SUM('#1-Meritus:#5034-Mt Washington Pediatric'!H104:H104)</f>
        <v>1188871.6120000002</v>
      </c>
      <c r="J85" s="217">
        <f>SUM('#1-Meritus:#5034-Mt Washington Pediatric'!I104:I104)</f>
        <v>578884.15311762108</v>
      </c>
      <c r="K85" s="217">
        <f>SUM('#1-Meritus:#5034-Mt Washington Pediatric'!J104:J104)</f>
        <v>0</v>
      </c>
      <c r="L85" s="217">
        <f>SUM('#1-Meritus:#5034-Mt Washington Pediatric'!K104:K104)</f>
        <v>1767755.765117621</v>
      </c>
      <c r="M85" s="74">
        <f>L85-J85</f>
        <v>1188871.612</v>
      </c>
      <c r="N85" s="36"/>
      <c r="O85" s="36"/>
    </row>
    <row r="86" spans="1:15" x14ac:dyDescent="0.2">
      <c r="A86" s="41" t="s">
        <v>331</v>
      </c>
      <c r="B86" s="41"/>
      <c r="C86" s="35"/>
      <c r="G86" s="217">
        <f>SUM('#1-Meritus:#5034-Mt Washington Pediatric'!F105:F105)</f>
        <v>0</v>
      </c>
      <c r="H86" s="217">
        <f>SUM('#1-Meritus:#5034-Mt Washington Pediatric'!G105:G105)</f>
        <v>0</v>
      </c>
      <c r="I86" s="217">
        <f>SUM('#1-Meritus:#5034-Mt Washington Pediatric'!H105:H105)</f>
        <v>70000</v>
      </c>
      <c r="J86" s="217">
        <f>SUM('#1-Meritus:#5034-Mt Washington Pediatric'!I105:I105)</f>
        <v>54488.2</v>
      </c>
      <c r="K86" s="217">
        <f>SUM('#1-Meritus:#5034-Mt Washington Pediatric'!J105:J105)</f>
        <v>0</v>
      </c>
      <c r="L86" s="217">
        <f>SUM('#1-Meritus:#5034-Mt Washington Pediatric'!K105:K105)</f>
        <v>124488.2</v>
      </c>
      <c r="M86" s="74">
        <f>L86-J86</f>
        <v>70000</v>
      </c>
      <c r="N86" s="36"/>
      <c r="O86" s="36"/>
    </row>
    <row r="87" spans="1:15" x14ac:dyDescent="0.2">
      <c r="A87" s="41" t="s">
        <v>332</v>
      </c>
      <c r="B87" s="41"/>
      <c r="C87" s="35"/>
      <c r="G87" s="217">
        <f>SUM('#1-Meritus:#5034-Mt Washington Pediatric'!F106:F106)</f>
        <v>0</v>
      </c>
      <c r="H87" s="217">
        <f>SUM('#1-Meritus:#5034-Mt Washington Pediatric'!G106:G106)</f>
        <v>0</v>
      </c>
      <c r="I87" s="217">
        <f>SUM('#1-Meritus:#5034-Mt Washington Pediatric'!H106:H106)</f>
        <v>0</v>
      </c>
      <c r="J87" s="217">
        <f>SUM('#1-Meritus:#5034-Mt Washington Pediatric'!I106:I106)</f>
        <v>0</v>
      </c>
      <c r="K87" s="217">
        <f>SUM('#1-Meritus:#5034-Mt Washington Pediatric'!J106:J106)</f>
        <v>0</v>
      </c>
      <c r="L87" s="217">
        <f>SUM('#1-Meritus:#5034-Mt Washington Pediatric'!K106:K106)</f>
        <v>0</v>
      </c>
      <c r="M87" s="74">
        <f>L87-J87</f>
        <v>0</v>
      </c>
      <c r="N87" s="36"/>
      <c r="O87" s="36"/>
    </row>
    <row r="88" spans="1:15" x14ac:dyDescent="0.2">
      <c r="A88" s="41"/>
      <c r="B88" s="41"/>
      <c r="C88" s="35"/>
      <c r="G88" s="62"/>
      <c r="H88" s="63"/>
      <c r="I88" s="63"/>
      <c r="J88" s="63"/>
      <c r="K88" s="63"/>
      <c r="L88" s="63"/>
      <c r="N88" s="36"/>
      <c r="O88" s="36"/>
    </row>
    <row r="89" spans="1:15" x14ac:dyDescent="0.2">
      <c r="A89" s="35" t="s">
        <v>153</v>
      </c>
      <c r="B89" s="30"/>
      <c r="C89" s="35" t="s">
        <v>225</v>
      </c>
      <c r="D89" s="36"/>
      <c r="E89" s="36"/>
      <c r="F89" s="36"/>
      <c r="G89" s="60">
        <f>SUM(G83:G87)</f>
        <v>113545.14372846927</v>
      </c>
      <c r="H89" s="60">
        <f t="shared" ref="H89:M89" si="8">SUM(H83:H87)</f>
        <v>2694</v>
      </c>
      <c r="I89" s="217">
        <f>SUM('#1-Meritus:#5034-Mt Washington Pediatric'!H108:H108)</f>
        <v>9029375.8487253319</v>
      </c>
      <c r="J89" s="217">
        <f>SUM('#1-Meritus:#5034-Mt Washington Pediatric'!I108:I108)</f>
        <v>5574577.3478818359</v>
      </c>
      <c r="K89" s="217">
        <f>SUM('#1-Meritus:#5034-Mt Washington Pediatric'!J108:J108)</f>
        <v>59870</v>
      </c>
      <c r="L89" s="217">
        <f>SUM('#1-Meritus:#5034-Mt Washington Pediatric'!K108:K108)</f>
        <v>14544083.196607167</v>
      </c>
      <c r="M89" s="60">
        <f t="shared" si="8"/>
        <v>8969505.8487253319</v>
      </c>
      <c r="N89" s="36"/>
      <c r="O89" s="36"/>
    </row>
    <row r="90" spans="1:15" x14ac:dyDescent="0.2">
      <c r="A90" s="30"/>
      <c r="B90" s="30"/>
      <c r="C90" s="35"/>
      <c r="D90" s="36"/>
      <c r="E90" s="36"/>
      <c r="F90" s="36"/>
      <c r="G90" s="64"/>
      <c r="H90" s="64"/>
      <c r="I90" s="64"/>
      <c r="J90" s="64"/>
      <c r="K90" s="64"/>
      <c r="L90" s="64"/>
      <c r="M90" s="36"/>
      <c r="N90" s="36"/>
      <c r="O90" s="36"/>
    </row>
    <row r="91" spans="1:15" x14ac:dyDescent="0.2">
      <c r="A91" s="30"/>
      <c r="B91" s="30"/>
      <c r="C91" s="35"/>
      <c r="D91" s="36"/>
      <c r="E91" s="36"/>
      <c r="F91" s="36"/>
      <c r="K91" s="39"/>
      <c r="L91" s="40"/>
      <c r="M91" s="36"/>
      <c r="N91" s="36"/>
      <c r="O91" s="36"/>
    </row>
    <row r="92" spans="1:15" x14ac:dyDescent="0.2">
      <c r="A92" s="29" t="s">
        <v>413</v>
      </c>
      <c r="B92" s="30"/>
      <c r="C92" s="35" t="s">
        <v>39</v>
      </c>
      <c r="K92" s="39"/>
      <c r="L92" s="40"/>
      <c r="N92" s="36"/>
      <c r="O92" s="36"/>
    </row>
    <row r="93" spans="1:15" x14ac:dyDescent="0.2">
      <c r="B93" s="30"/>
      <c r="G93" s="43">
        <f>SUM('#1-Meritus:#5034-Mt Washington Pediatric'!F111)</f>
        <v>310740129.84600002</v>
      </c>
      <c r="I93" s="56"/>
      <c r="J93" s="56"/>
      <c r="K93" s="39"/>
      <c r="L93" s="40"/>
      <c r="N93" s="36"/>
      <c r="O93" s="36"/>
    </row>
    <row r="94" spans="1:15" x14ac:dyDescent="0.2">
      <c r="B94" s="29"/>
      <c r="C94" s="35"/>
      <c r="K94" s="39"/>
      <c r="L94" s="40"/>
      <c r="N94" s="36"/>
      <c r="O94" s="36"/>
    </row>
    <row r="95" spans="1:15" x14ac:dyDescent="0.2">
      <c r="A95" s="30"/>
      <c r="B95" s="30"/>
      <c r="K95" s="39"/>
      <c r="L95" s="40"/>
      <c r="N95" s="36"/>
      <c r="O95" s="36"/>
    </row>
    <row r="96" spans="1:15" ht="44.25" customHeight="1" x14ac:dyDescent="0.2">
      <c r="A96" s="30"/>
      <c r="B96" s="30"/>
      <c r="G96" s="32" t="s">
        <v>9</v>
      </c>
      <c r="H96" s="32" t="s">
        <v>37</v>
      </c>
      <c r="I96" s="32" t="s">
        <v>398</v>
      </c>
      <c r="J96" s="32" t="s">
        <v>399</v>
      </c>
      <c r="K96" s="33" t="s">
        <v>215</v>
      </c>
      <c r="L96" s="38" t="s">
        <v>396</v>
      </c>
      <c r="M96" s="32" t="s">
        <v>397</v>
      </c>
      <c r="N96" s="36"/>
      <c r="O96" s="36"/>
    </row>
    <row r="97" spans="1:15" x14ac:dyDescent="0.2">
      <c r="A97" s="29" t="s">
        <v>414</v>
      </c>
      <c r="B97" s="41"/>
      <c r="C97" s="35" t="s">
        <v>23</v>
      </c>
      <c r="K97" s="39"/>
      <c r="L97" s="40"/>
      <c r="N97" s="36"/>
      <c r="O97" s="36"/>
    </row>
    <row r="98" spans="1:15" x14ac:dyDescent="0.2">
      <c r="B98" s="30"/>
      <c r="C98" s="35"/>
      <c r="G98" s="65"/>
      <c r="H98" s="65"/>
      <c r="I98" s="66"/>
      <c r="J98" s="66"/>
      <c r="K98" s="66"/>
      <c r="L98" s="66"/>
      <c r="M98" s="66"/>
      <c r="N98" s="36"/>
      <c r="O98" s="36"/>
    </row>
    <row r="99" spans="1:15" x14ac:dyDescent="0.2">
      <c r="A99" s="41" t="s">
        <v>267</v>
      </c>
      <c r="B99" s="29"/>
      <c r="C99" s="35" t="s">
        <v>24</v>
      </c>
      <c r="G99" s="60">
        <f>SUM('#1-Meritus:#5034-Mt Washington Pediatric'!F131)</f>
        <v>3888</v>
      </c>
      <c r="H99" s="60">
        <f>SUM('#1-Meritus:#5034-Mt Washington Pediatric'!G131)</f>
        <v>9404</v>
      </c>
      <c r="I99" s="60">
        <f>SUM('#1-Meritus:#5034-Mt Washington Pediatric'!H131:H131)</f>
        <v>1188297</v>
      </c>
      <c r="J99" s="60">
        <f>SUM('#1-Meritus:#5034-Mt Washington Pediatric'!I131:I131)</f>
        <v>135367.41972067879</v>
      </c>
      <c r="K99" s="60">
        <f>SUM('#1-Meritus:#5034-Mt Washington Pediatric'!J131:J131)</f>
        <v>220107</v>
      </c>
      <c r="L99" s="60">
        <f>SUM('#1-Meritus:#5034-Mt Washington Pediatric'!K131:K131)</f>
        <v>1103557.4197206786</v>
      </c>
      <c r="M99" s="74">
        <f>L99-J99</f>
        <v>968189.99999999977</v>
      </c>
      <c r="N99" s="36"/>
      <c r="O99" s="36"/>
    </row>
    <row r="100" spans="1:15" x14ac:dyDescent="0.2">
      <c r="A100" s="41" t="s">
        <v>268</v>
      </c>
      <c r="B100" s="41"/>
      <c r="C100" s="35" t="s">
        <v>25</v>
      </c>
      <c r="G100" s="60">
        <f>SUM('#1-Meritus:#5034-Mt Washington Pediatric'!F132)</f>
        <v>63360</v>
      </c>
      <c r="H100" s="60">
        <f>SUM('#1-Meritus:#5034-Mt Washington Pediatric'!G132)</f>
        <v>26120</v>
      </c>
      <c r="I100" s="60">
        <f>SUM('#1-Meritus:#5034-Mt Washington Pediatric'!H132:H132)</f>
        <v>3476181</v>
      </c>
      <c r="J100" s="60">
        <f>SUM('#1-Meritus:#5034-Mt Washington Pediatric'!I132:I132)</f>
        <v>2936824.4879999999</v>
      </c>
      <c r="K100" s="60">
        <f>SUM('#1-Meritus:#5034-Mt Washington Pediatric'!J132:J132)</f>
        <v>2182222</v>
      </c>
      <c r="L100" s="60">
        <f>SUM('#1-Meritus:#5034-Mt Washington Pediatric'!K132:K132)</f>
        <v>4230783.4879999999</v>
      </c>
      <c r="M100" s="74">
        <f>L100-J100</f>
        <v>1293959</v>
      </c>
      <c r="N100" s="36"/>
      <c r="O100" s="36"/>
    </row>
    <row r="101" spans="1:15" x14ac:dyDescent="0.2">
      <c r="A101" s="41" t="s">
        <v>428</v>
      </c>
      <c r="B101" s="41"/>
      <c r="C101" s="35" t="s">
        <v>233</v>
      </c>
      <c r="G101" s="60">
        <f>SUM('#1-Meritus:#5034-Mt Washington Pediatric'!F133)</f>
        <v>0</v>
      </c>
      <c r="H101" s="60">
        <f>SUM('#1-Meritus:#5034-Mt Washington Pediatric'!G133)</f>
        <v>0</v>
      </c>
      <c r="I101" s="60">
        <f>SUM('#1-Meritus:#5034-Mt Washington Pediatric'!H133:H133)</f>
        <v>0</v>
      </c>
      <c r="J101" s="60">
        <f>SUM('#1-Meritus:#5034-Mt Washington Pediatric'!I133:I133)</f>
        <v>0</v>
      </c>
      <c r="K101" s="60">
        <f>SUM('#1-Meritus:#5034-Mt Washington Pediatric'!J133:J133)</f>
        <v>0</v>
      </c>
      <c r="L101" s="60">
        <f>SUM('#1-Meritus:#5034-Mt Washington Pediatric'!K133:K133)</f>
        <v>0</v>
      </c>
      <c r="M101" s="74">
        <f>L101-J101</f>
        <v>0</v>
      </c>
      <c r="N101" s="36"/>
      <c r="O101" s="36"/>
    </row>
    <row r="102" spans="1:15" x14ac:dyDescent="0.2">
      <c r="A102" s="41" t="s">
        <v>429</v>
      </c>
      <c r="B102" s="41"/>
      <c r="C102" s="35" t="s">
        <v>233</v>
      </c>
      <c r="G102" s="60">
        <f>SUM('#1-Meritus:#5034-Mt Washington Pediatric'!F134)</f>
        <v>0</v>
      </c>
      <c r="H102" s="60">
        <f>SUM('#1-Meritus:#5034-Mt Washington Pediatric'!G134)</f>
        <v>0</v>
      </c>
      <c r="I102" s="60">
        <f>SUM('#1-Meritus:#5034-Mt Washington Pediatric'!H134:H134)</f>
        <v>0</v>
      </c>
      <c r="J102" s="60">
        <f>SUM('#1-Meritus:#5034-Mt Washington Pediatric'!I134:I134)</f>
        <v>0</v>
      </c>
      <c r="K102" s="60">
        <f>SUM('#1-Meritus:#5034-Mt Washington Pediatric'!J134:J134)</f>
        <v>0</v>
      </c>
      <c r="L102" s="60">
        <f>SUM('#1-Meritus:#5034-Mt Washington Pediatric'!K134:K134)</f>
        <v>0</v>
      </c>
      <c r="M102" s="74">
        <f>L102-J102</f>
        <v>0</v>
      </c>
      <c r="N102" s="36"/>
      <c r="O102" s="36"/>
    </row>
    <row r="103" spans="1:15" x14ac:dyDescent="0.2">
      <c r="A103" s="41" t="s">
        <v>430</v>
      </c>
      <c r="B103" s="41"/>
      <c r="C103" s="35" t="s">
        <v>233</v>
      </c>
      <c r="G103" s="60">
        <f>SUM('#1-Meritus:#5034-Mt Washington Pediatric'!F135)</f>
        <v>0</v>
      </c>
      <c r="H103" s="60">
        <f>SUM('#1-Meritus:#5034-Mt Washington Pediatric'!G135)</f>
        <v>0</v>
      </c>
      <c r="I103" s="60">
        <f>SUM('#1-Meritus:#5034-Mt Washington Pediatric'!H135:H135)</f>
        <v>0</v>
      </c>
      <c r="J103" s="60">
        <f>SUM('#1-Meritus:#5034-Mt Washington Pediatric'!I135:I135)</f>
        <v>0</v>
      </c>
      <c r="K103" s="60">
        <f>SUM('#1-Meritus:#5034-Mt Washington Pediatric'!J135:J135)</f>
        <v>0</v>
      </c>
      <c r="L103" s="60">
        <f>SUM('#1-Meritus:#5034-Mt Washington Pediatric'!K135:K135)</f>
        <v>0</v>
      </c>
      <c r="M103" s="74">
        <f>L103-J103</f>
        <v>0</v>
      </c>
      <c r="N103" s="36"/>
      <c r="O103" s="36"/>
    </row>
    <row r="104" spans="1:15" x14ac:dyDescent="0.2">
      <c r="A104" s="41" t="s">
        <v>163</v>
      </c>
      <c r="B104" s="41"/>
      <c r="C104" s="35" t="s">
        <v>225</v>
      </c>
      <c r="G104" s="37">
        <f t="shared" ref="G104:M104" si="9">SUM(G98:G102)</f>
        <v>67248</v>
      </c>
      <c r="H104" s="37">
        <f t="shared" si="9"/>
        <v>35524</v>
      </c>
      <c r="I104" s="60">
        <f>SUM('#1-Meritus:#5034-Mt Washington Pediatric'!H137:H137)</f>
        <v>4664478</v>
      </c>
      <c r="J104" s="60">
        <f>SUM('#1-Meritus:#5034-Mt Washington Pediatric'!I137:I137)</f>
        <v>3072191.907720679</v>
      </c>
      <c r="K104" s="60">
        <f>SUM('#1-Meritus:#5034-Mt Washington Pediatric'!J137:J137)</f>
        <v>2402329</v>
      </c>
      <c r="L104" s="60">
        <f>SUM('#1-Meritus:#5034-Mt Washington Pediatric'!K137:K137)</f>
        <v>5334340.9077206794</v>
      </c>
      <c r="M104" s="43">
        <f t="shared" si="9"/>
        <v>2262149</v>
      </c>
      <c r="N104" s="36"/>
      <c r="O104" s="36"/>
    </row>
    <row r="105" spans="1:15" x14ac:dyDescent="0.2">
      <c r="A105" s="29"/>
      <c r="B105" s="29"/>
      <c r="G105" s="47"/>
      <c r="H105" s="47"/>
      <c r="I105" s="47"/>
      <c r="J105" s="47"/>
      <c r="K105" s="47"/>
      <c r="L105" s="47"/>
      <c r="M105" s="47"/>
    </row>
    <row r="106" spans="1:15" x14ac:dyDescent="0.2">
      <c r="A106" s="30"/>
      <c r="B106" s="30"/>
      <c r="K106" s="39"/>
      <c r="L106" s="40"/>
    </row>
    <row r="107" spans="1:15" ht="46.5" customHeight="1" x14ac:dyDescent="0.2">
      <c r="A107" s="35"/>
      <c r="G107" s="32" t="s">
        <v>9</v>
      </c>
      <c r="H107" s="32" t="s">
        <v>37</v>
      </c>
      <c r="I107" s="32" t="s">
        <v>398</v>
      </c>
      <c r="J107" s="32" t="s">
        <v>399</v>
      </c>
      <c r="K107" s="33" t="s">
        <v>215</v>
      </c>
      <c r="L107" s="38" t="s">
        <v>396</v>
      </c>
      <c r="M107" s="32" t="s">
        <v>397</v>
      </c>
    </row>
    <row r="108" spans="1:15" x14ac:dyDescent="0.2">
      <c r="A108" s="27" t="s">
        <v>415</v>
      </c>
      <c r="C108" s="35" t="s">
        <v>26</v>
      </c>
      <c r="K108" s="39"/>
      <c r="L108" s="40"/>
    </row>
    <row r="109" spans="1:15" x14ac:dyDescent="0.2">
      <c r="A109" s="41" t="s">
        <v>416</v>
      </c>
      <c r="B109" s="29"/>
      <c r="C109" s="35" t="s">
        <v>64</v>
      </c>
      <c r="G109" s="60">
        <f>+G24</f>
        <v>1977411.8114953691</v>
      </c>
      <c r="H109" s="60">
        <f>+H24</f>
        <v>3051383.481212541</v>
      </c>
      <c r="I109" s="77">
        <f>+I24</f>
        <v>96768897.561664864</v>
      </c>
      <c r="J109" s="77">
        <f>+J24</f>
        <v>53835741.611898124</v>
      </c>
      <c r="K109" s="77">
        <f>+K24</f>
        <v>23185408.301800005</v>
      </c>
      <c r="L109" s="74">
        <f t="shared" ref="L109:L118" si="10">+I109+J109-K109</f>
        <v>127419230.87176299</v>
      </c>
      <c r="M109" s="74">
        <f t="shared" ref="M109:M118" si="11">+I109-K109</f>
        <v>73583489.259864867</v>
      </c>
      <c r="N109" s="36"/>
      <c r="O109" s="36"/>
    </row>
    <row r="110" spans="1:15" x14ac:dyDescent="0.2">
      <c r="A110" s="41" t="s">
        <v>417</v>
      </c>
      <c r="B110" s="41"/>
      <c r="C110" s="35" t="s">
        <v>65</v>
      </c>
      <c r="G110" s="60">
        <f>+G38</f>
        <v>4897638.3404374365</v>
      </c>
      <c r="H110" s="60">
        <f>+H38</f>
        <v>121081.70015677162</v>
      </c>
      <c r="I110" s="77">
        <f>+I38</f>
        <v>395305915.12682933</v>
      </c>
      <c r="J110" s="77">
        <f>+J38</f>
        <v>168947286.99831146</v>
      </c>
      <c r="K110" s="77">
        <f>+K38</f>
        <v>3253657.5202500001</v>
      </c>
      <c r="L110" s="74">
        <f t="shared" si="10"/>
        <v>560999544.60489082</v>
      </c>
      <c r="M110" s="74">
        <f t="shared" si="11"/>
        <v>392052257.6065793</v>
      </c>
      <c r="N110" s="36"/>
      <c r="O110" s="36"/>
    </row>
    <row r="111" spans="1:15" x14ac:dyDescent="0.2">
      <c r="A111" s="41" t="s">
        <v>418</v>
      </c>
      <c r="B111" s="41"/>
      <c r="C111" s="35" t="s">
        <v>66</v>
      </c>
      <c r="G111" s="60">
        <f>+G43</f>
        <v>4175633.5808559214</v>
      </c>
      <c r="H111" s="60">
        <f>+H43</f>
        <v>1643854.2480000001</v>
      </c>
      <c r="I111" s="77">
        <f>+I43</f>
        <v>750879444.03681707</v>
      </c>
      <c r="J111" s="341">
        <f>+J43</f>
        <v>113537965.22763591</v>
      </c>
      <c r="K111" s="77">
        <f>+K43</f>
        <v>249375450.96999997</v>
      </c>
      <c r="L111" s="74">
        <f t="shared" si="10"/>
        <v>615041958.29445291</v>
      </c>
      <c r="M111" s="74">
        <f t="shared" si="11"/>
        <v>501503993.0668171</v>
      </c>
      <c r="N111" s="36"/>
      <c r="O111" s="36"/>
    </row>
    <row r="112" spans="1:15" x14ac:dyDescent="0.2">
      <c r="A112" s="41" t="s">
        <v>419</v>
      </c>
      <c r="B112" s="41"/>
      <c r="C112" s="35" t="s">
        <v>67</v>
      </c>
      <c r="G112" s="60">
        <f>+G51</f>
        <v>148740.78</v>
      </c>
      <c r="H112" s="60">
        <f>+H51</f>
        <v>6532</v>
      </c>
      <c r="I112" s="77">
        <f>+I51</f>
        <v>14106514.109999999</v>
      </c>
      <c r="J112" s="77">
        <f>+J51</f>
        <v>2205911.0223254212</v>
      </c>
      <c r="K112" s="77">
        <f>+K51</f>
        <v>4707231.9899999993</v>
      </c>
      <c r="L112" s="74">
        <f t="shared" si="10"/>
        <v>11605193.14232542</v>
      </c>
      <c r="M112" s="74">
        <f t="shared" si="11"/>
        <v>9399282.120000001</v>
      </c>
      <c r="N112" s="36"/>
      <c r="O112" s="36"/>
    </row>
    <row r="113" spans="1:15" x14ac:dyDescent="0.2">
      <c r="A113" s="41" t="s">
        <v>420</v>
      </c>
      <c r="B113" s="41"/>
      <c r="C113" s="35" t="s">
        <v>68</v>
      </c>
      <c r="G113" s="60">
        <f>+G60</f>
        <v>29670.898870983241</v>
      </c>
      <c r="H113" s="60">
        <f>+H60</f>
        <v>119940.5</v>
      </c>
      <c r="I113" s="77">
        <f>+I60</f>
        <v>13998230.206297154</v>
      </c>
      <c r="J113" s="77">
        <f>+J60</f>
        <v>763176.99241570185</v>
      </c>
      <c r="K113" s="77">
        <f>+K60</f>
        <v>421740</v>
      </c>
      <c r="L113" s="74">
        <f t="shared" si="10"/>
        <v>14339667.198712856</v>
      </c>
      <c r="M113" s="74">
        <f t="shared" si="11"/>
        <v>13576490.206297154</v>
      </c>
      <c r="N113" s="36"/>
      <c r="O113" s="36"/>
    </row>
    <row r="114" spans="1:15" x14ac:dyDescent="0.2">
      <c r="A114" s="41" t="s">
        <v>421</v>
      </c>
      <c r="B114" s="41"/>
      <c r="C114" s="35" t="s">
        <v>69</v>
      </c>
      <c r="G114" s="60">
        <f>+G78</f>
        <v>275706.75658960349</v>
      </c>
      <c r="H114" s="60">
        <f>+H78</f>
        <v>295963.5</v>
      </c>
      <c r="I114" s="77">
        <f>+I78</f>
        <v>23556913.806222979</v>
      </c>
      <c r="J114" s="77">
        <f>+J78</f>
        <v>14140450.54158913</v>
      </c>
      <c r="K114" s="77">
        <f>+K78</f>
        <v>5785709</v>
      </c>
      <c r="L114" s="74">
        <f t="shared" si="10"/>
        <v>31911655.347812109</v>
      </c>
      <c r="M114" s="74">
        <f t="shared" si="11"/>
        <v>17771204.806222979</v>
      </c>
      <c r="N114" s="36"/>
      <c r="O114" s="36"/>
    </row>
    <row r="115" spans="1:15" x14ac:dyDescent="0.2">
      <c r="A115" s="41" t="s">
        <v>422</v>
      </c>
      <c r="B115" s="41"/>
      <c r="C115" s="35" t="s">
        <v>61</v>
      </c>
      <c r="G115" s="60">
        <f>+G89</f>
        <v>113545.14372846927</v>
      </c>
      <c r="H115" s="60">
        <f>+H89</f>
        <v>2694</v>
      </c>
      <c r="I115" s="77">
        <f>+I89</f>
        <v>9029375.8487253319</v>
      </c>
      <c r="J115" s="77">
        <f>+J89</f>
        <v>5574577.3478818359</v>
      </c>
      <c r="K115" s="77">
        <f>+K89</f>
        <v>59870</v>
      </c>
      <c r="L115" s="74">
        <f t="shared" si="10"/>
        <v>14544083.196607169</v>
      </c>
      <c r="M115" s="74">
        <f t="shared" si="11"/>
        <v>8969505.8487253319</v>
      </c>
      <c r="N115" s="36"/>
      <c r="O115" s="36"/>
    </row>
    <row r="116" spans="1:15" x14ac:dyDescent="0.2">
      <c r="A116" s="41" t="s">
        <v>423</v>
      </c>
      <c r="B116" s="41"/>
      <c r="C116" s="35" t="s">
        <v>70</v>
      </c>
      <c r="G116" s="91">
        <v>0</v>
      </c>
      <c r="H116" s="152">
        <v>0</v>
      </c>
      <c r="I116" s="92">
        <f>+G93</f>
        <v>310740129.84600002</v>
      </c>
      <c r="J116" s="92">
        <f t="shared" ref="J116:K116" si="12">+H93</f>
        <v>0</v>
      </c>
      <c r="K116" s="92">
        <f t="shared" si="12"/>
        <v>0</v>
      </c>
      <c r="L116" s="93">
        <f>+I116+J116-K116</f>
        <v>310740129.84600002</v>
      </c>
      <c r="M116" s="93">
        <f>+I116-K116</f>
        <v>310740129.84600002</v>
      </c>
      <c r="N116" s="36"/>
      <c r="O116" s="36"/>
    </row>
    <row r="117" spans="1:15" x14ac:dyDescent="0.2">
      <c r="A117" s="41" t="s">
        <v>424</v>
      </c>
      <c r="B117" s="41"/>
      <c r="C117" s="35" t="s">
        <v>71</v>
      </c>
      <c r="G117" s="60">
        <f>+G104</f>
        <v>67248</v>
      </c>
      <c r="H117" s="60">
        <f>+H104</f>
        <v>35524</v>
      </c>
      <c r="I117" s="77">
        <f>+I104</f>
        <v>4664478</v>
      </c>
      <c r="J117" s="77">
        <f>+J104</f>
        <v>3072191.907720679</v>
      </c>
      <c r="K117" s="77">
        <f>+K104</f>
        <v>2402329</v>
      </c>
      <c r="L117" s="74">
        <f t="shared" si="10"/>
        <v>5334340.9077206794</v>
      </c>
      <c r="M117" s="74">
        <f t="shared" si="11"/>
        <v>2262149</v>
      </c>
      <c r="N117" s="36"/>
      <c r="O117" s="36"/>
    </row>
    <row r="118" spans="1:15" x14ac:dyDescent="0.2">
      <c r="A118" s="41" t="s">
        <v>185</v>
      </c>
      <c r="B118" s="41"/>
      <c r="C118" s="35" t="s">
        <v>183</v>
      </c>
      <c r="G118" s="60">
        <f>+G6</f>
        <v>0</v>
      </c>
      <c r="H118" s="60">
        <f>+H6</f>
        <v>0</v>
      </c>
      <c r="I118" s="77">
        <f>+I6</f>
        <v>364825001.49608707</v>
      </c>
      <c r="J118" s="77">
        <f>+J6</f>
        <v>0</v>
      </c>
      <c r="K118" s="77">
        <f>+K6</f>
        <v>308349116.12643558</v>
      </c>
      <c r="L118" s="74">
        <f t="shared" si="10"/>
        <v>56475885.369651496</v>
      </c>
      <c r="M118" s="74">
        <f t="shared" si="11"/>
        <v>56475885.369651496</v>
      </c>
      <c r="N118" s="36"/>
      <c r="O118" s="36"/>
    </row>
    <row r="119" spans="1:15" x14ac:dyDescent="0.2">
      <c r="A119" s="41"/>
      <c r="B119" s="41"/>
      <c r="C119" s="35"/>
      <c r="G119" s="67"/>
      <c r="H119" s="67"/>
      <c r="I119" s="47"/>
      <c r="J119" s="47"/>
      <c r="K119" s="47"/>
      <c r="L119" s="47"/>
      <c r="M119" s="36"/>
    </row>
    <row r="120" spans="1:15" x14ac:dyDescent="0.2">
      <c r="A120" s="41" t="s">
        <v>165</v>
      </c>
      <c r="B120" s="30"/>
      <c r="C120" s="35" t="s">
        <v>26</v>
      </c>
      <c r="G120" s="60">
        <f>SUM(G109:G118)</f>
        <v>11685595.311977781</v>
      </c>
      <c r="H120" s="60">
        <f t="shared" ref="H120:M120" si="13">SUM(H109:H118)</f>
        <v>5276973.4293693127</v>
      </c>
      <c r="I120" s="77">
        <f t="shared" si="13"/>
        <v>1983874900.0386436</v>
      </c>
      <c r="J120" s="77">
        <f t="shared" si="13"/>
        <v>362077301.64977831</v>
      </c>
      <c r="K120" s="77">
        <f t="shared" si="13"/>
        <v>597540512.90848565</v>
      </c>
      <c r="L120" s="341">
        <f>SUM('#1-Meritus:#5034-Mt Washington Pediatric'!K152:K152)</f>
        <v>1748441688.9699364</v>
      </c>
      <c r="M120" s="77">
        <f t="shared" si="13"/>
        <v>1386334387.1301584</v>
      </c>
    </row>
    <row r="121" spans="1:15" x14ac:dyDescent="0.2">
      <c r="A121" s="30"/>
      <c r="B121" s="29"/>
      <c r="C121" s="35"/>
      <c r="G121" s="51"/>
      <c r="H121" s="51"/>
      <c r="I121" s="51"/>
      <c r="J121" s="51"/>
      <c r="K121" s="67"/>
      <c r="L121" s="67"/>
      <c r="M121" s="67"/>
    </row>
    <row r="122" spans="1:15" x14ac:dyDescent="0.2">
      <c r="A122" s="29"/>
      <c r="B122" s="29"/>
      <c r="C122" s="35" t="s">
        <v>425</v>
      </c>
      <c r="D122" s="68"/>
      <c r="E122" s="68"/>
      <c r="F122" s="68"/>
      <c r="G122" s="43">
        <f>SUM('#1-Meritus:#5034-Mt Washington Pediatric'!F121)</f>
        <v>16143540167.628906</v>
      </c>
      <c r="K122" s="36"/>
      <c r="L122" s="36"/>
    </row>
    <row r="123" spans="1:15" x14ac:dyDescent="0.2">
      <c r="A123" s="29"/>
      <c r="B123" s="29"/>
      <c r="D123" s="35"/>
      <c r="E123" s="35"/>
      <c r="F123" s="35"/>
      <c r="I123" s="36"/>
      <c r="K123" s="36"/>
      <c r="N123" s="40"/>
    </row>
    <row r="124" spans="1:15" x14ac:dyDescent="0.2">
      <c r="A124" s="29"/>
      <c r="B124" s="30"/>
      <c r="C124" s="35" t="s">
        <v>426</v>
      </c>
      <c r="D124" s="69"/>
      <c r="E124" s="69"/>
      <c r="F124" s="69"/>
      <c r="G124" s="70">
        <f>L120/G122</f>
        <v>0.1083059645415272</v>
      </c>
      <c r="K124" s="36"/>
      <c r="L124" s="71"/>
      <c r="M124" s="39"/>
      <c r="N124" s="40"/>
    </row>
    <row r="125" spans="1:15" x14ac:dyDescent="0.2">
      <c r="A125" s="30"/>
      <c r="B125" s="30"/>
      <c r="D125" s="35"/>
      <c r="E125" s="35"/>
      <c r="F125" s="35"/>
      <c r="L125" s="35"/>
      <c r="M125" s="39"/>
      <c r="N125" s="40"/>
    </row>
    <row r="126" spans="1:15" x14ac:dyDescent="0.2">
      <c r="A126" s="30"/>
      <c r="B126" s="30"/>
      <c r="C126" s="35" t="s">
        <v>427</v>
      </c>
      <c r="D126" s="72"/>
      <c r="E126" s="72"/>
      <c r="F126" s="72"/>
      <c r="G126" s="70">
        <f>M120/G122</f>
        <v>8.5875487825777017E-2</v>
      </c>
      <c r="L126" s="73"/>
      <c r="M126" s="39"/>
      <c r="N126" s="40"/>
    </row>
    <row r="127" spans="1:15" x14ac:dyDescent="0.2">
      <c r="A127" s="30"/>
      <c r="M127" s="39"/>
      <c r="N127" s="39"/>
      <c r="O127" s="40"/>
    </row>
  </sheetData>
  <sheetProtection algorithmName="SHA-512" hashValue="pYFaNgEWaQXY4WeQ0MHaIOxrfDuEV1OjKHHtI8yBInh4VYqjC6XAeZ/cOWrPkqtjqmgeWExVjEONuhqn87yd/g==" saltValue="jShRzzbm6ol8DZk+fRpC3g==" spinCount="100000" sheet="1" objects="1" scenarios="1"/>
  <mergeCells count="9">
    <mergeCell ref="A1:M1"/>
    <mergeCell ref="C35:E35"/>
    <mergeCell ref="C36:E36"/>
    <mergeCell ref="C76:E76"/>
    <mergeCell ref="B18:D18"/>
    <mergeCell ref="B19:D19"/>
    <mergeCell ref="B22:D22"/>
    <mergeCell ref="C33:E33"/>
    <mergeCell ref="C34:E34"/>
  </mergeCells>
  <pageMargins left="0.7" right="0.7" top="0.75" bottom="0.75" header="0.3" footer="0.3"/>
  <pageSetup scale="59" fitToHeight="0" orientation="landscape" r:id="rId1"/>
  <headerFooter>
    <oddFooter>&amp;CAttachment III Page &amp;P</oddFooter>
  </headerFooter>
  <rowBreaks count="2" manualBreakCount="2">
    <brk id="44" max="16383" man="1"/>
    <brk id="8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56"/>
  <sheetViews>
    <sheetView showGridLines="0" zoomScale="70" zoomScaleNormal="70" zoomScaleSheetLayoutView="80" workbookViewId="0">
      <selection activeCell="G23" sqref="G23"/>
    </sheetView>
  </sheetViews>
  <sheetFormatPr defaultRowHeight="18" customHeight="1" x14ac:dyDescent="0.2"/>
  <cols>
    <col min="1" max="1" width="8.28515625" style="106" customWidth="1"/>
    <col min="2" max="2" width="55.42578125" style="151" bestFit="1" customWidth="1"/>
    <col min="3" max="3" width="9.5703125" style="151" customWidth="1"/>
    <col min="4" max="4" width="9.140625" style="151"/>
    <col min="5" max="5" width="12.42578125" style="151" customWidth="1"/>
    <col min="6" max="6" width="18.5703125" style="151" customWidth="1"/>
    <col min="7" max="7" width="23.5703125" style="151" customWidth="1"/>
    <col min="8" max="8" width="17.140625" style="151" customWidth="1"/>
    <col min="9" max="9" width="21.140625" style="151" customWidth="1"/>
    <col min="10" max="10" width="19.85546875" style="151" customWidth="1"/>
    <col min="11" max="11" width="17.5703125" style="151" customWidth="1"/>
    <col min="12" max="16384" width="9.140625" style="151"/>
  </cols>
  <sheetData>
    <row r="1" spans="1:11" ht="18" customHeight="1" x14ac:dyDescent="0.2">
      <c r="C1" s="110"/>
      <c r="D1" s="109"/>
      <c r="E1" s="110"/>
      <c r="F1" s="110"/>
      <c r="G1" s="110"/>
      <c r="H1" s="110"/>
      <c r="I1" s="110"/>
      <c r="J1" s="110"/>
      <c r="K1" s="110"/>
    </row>
    <row r="2" spans="1:11" ht="18" customHeight="1" x14ac:dyDescent="0.25">
      <c r="D2" s="378" t="s">
        <v>612</v>
      </c>
      <c r="E2" s="379"/>
      <c r="F2" s="379"/>
      <c r="G2" s="379"/>
      <c r="H2" s="379"/>
    </row>
    <row r="3" spans="1:11" ht="18" customHeight="1" x14ac:dyDescent="0.2">
      <c r="B3" s="108" t="s">
        <v>0</v>
      </c>
    </row>
    <row r="5" spans="1:11" ht="18" customHeight="1" x14ac:dyDescent="0.2">
      <c r="B5" s="148" t="s">
        <v>40</v>
      </c>
      <c r="C5" s="386" t="s">
        <v>194</v>
      </c>
      <c r="D5" s="387"/>
      <c r="E5" s="387"/>
      <c r="F5" s="387"/>
      <c r="G5" s="388"/>
    </row>
    <row r="6" spans="1:11" ht="18" customHeight="1" x14ac:dyDescent="0.2">
      <c r="B6" s="148" t="s">
        <v>3</v>
      </c>
      <c r="C6" s="389" t="s">
        <v>712</v>
      </c>
      <c r="D6" s="390"/>
      <c r="E6" s="390"/>
      <c r="F6" s="390"/>
      <c r="G6" s="391"/>
    </row>
    <row r="7" spans="1:11" ht="18" customHeight="1" x14ac:dyDescent="0.2">
      <c r="B7" s="148" t="s">
        <v>4</v>
      </c>
      <c r="C7" s="392">
        <v>2707</v>
      </c>
      <c r="D7" s="393"/>
      <c r="E7" s="393"/>
      <c r="F7" s="393"/>
      <c r="G7" s="394"/>
    </row>
    <row r="9" spans="1:11" ht="18" customHeight="1" x14ac:dyDescent="0.2">
      <c r="B9" s="148" t="s">
        <v>1</v>
      </c>
      <c r="C9" s="386" t="s">
        <v>531</v>
      </c>
      <c r="D9" s="387"/>
      <c r="E9" s="387"/>
      <c r="F9" s="387"/>
      <c r="G9" s="388"/>
    </row>
    <row r="10" spans="1:11" ht="18" customHeight="1" x14ac:dyDescent="0.2">
      <c r="B10" s="148" t="s">
        <v>2</v>
      </c>
      <c r="C10" s="395" t="s">
        <v>438</v>
      </c>
      <c r="D10" s="396"/>
      <c r="E10" s="396"/>
      <c r="F10" s="396"/>
      <c r="G10" s="397"/>
    </row>
    <row r="11" spans="1:11" ht="18" customHeight="1" x14ac:dyDescent="0.2">
      <c r="B11" s="148" t="s">
        <v>32</v>
      </c>
      <c r="C11" s="380" t="s">
        <v>437</v>
      </c>
      <c r="D11" s="381"/>
      <c r="E11" s="381"/>
      <c r="F11" s="381"/>
      <c r="G11" s="382"/>
    </row>
    <row r="12" spans="1:11" ht="18" customHeight="1" x14ac:dyDescent="0.2">
      <c r="B12" s="148"/>
      <c r="C12" s="148"/>
      <c r="D12" s="148"/>
      <c r="E12" s="148"/>
      <c r="F12" s="148"/>
      <c r="G12" s="148"/>
    </row>
    <row r="13" spans="1:11" ht="24.6" customHeight="1" x14ac:dyDescent="0.2">
      <c r="B13" s="383"/>
      <c r="C13" s="384"/>
      <c r="D13" s="384"/>
      <c r="E13" s="384"/>
      <c r="F13" s="384"/>
      <c r="G13" s="384"/>
      <c r="H13" s="385"/>
      <c r="I13" s="110"/>
    </row>
    <row r="14" spans="1:11" ht="18" customHeight="1" x14ac:dyDescent="0.2">
      <c r="B14" s="112"/>
    </row>
    <row r="15" spans="1:11" ht="18" customHeight="1" x14ac:dyDescent="0.2">
      <c r="B15" s="112"/>
    </row>
    <row r="16" spans="1:11" ht="45" customHeight="1" x14ac:dyDescent="0.2">
      <c r="A16" s="109" t="s">
        <v>181</v>
      </c>
      <c r="B16" s="110"/>
      <c r="C16" s="110"/>
      <c r="D16" s="110"/>
      <c r="E16" s="110"/>
      <c r="F16" s="113" t="s">
        <v>9</v>
      </c>
      <c r="G16" s="113" t="s">
        <v>37</v>
      </c>
      <c r="H16" s="113" t="s">
        <v>29</v>
      </c>
      <c r="I16" s="113" t="s">
        <v>30</v>
      </c>
      <c r="J16" s="113" t="s">
        <v>33</v>
      </c>
      <c r="K16" s="113" t="s">
        <v>34</v>
      </c>
    </row>
    <row r="17" spans="1:11" ht="18" customHeight="1" x14ac:dyDescent="0.2">
      <c r="A17" s="111" t="s">
        <v>184</v>
      </c>
      <c r="B17" s="108" t="s">
        <v>182</v>
      </c>
    </row>
    <row r="18" spans="1:11" ht="18" customHeight="1" x14ac:dyDescent="0.2">
      <c r="A18" s="148" t="s">
        <v>185</v>
      </c>
      <c r="B18" s="107" t="s">
        <v>183</v>
      </c>
      <c r="F18" s="221" t="s">
        <v>73</v>
      </c>
      <c r="G18" s="221" t="s">
        <v>73</v>
      </c>
      <c r="H18" s="118">
        <v>6820359</v>
      </c>
      <c r="I18" s="133">
        <v>0</v>
      </c>
      <c r="J18" s="118">
        <v>5764550</v>
      </c>
      <c r="K18" s="118">
        <f>(H18+I18)-J18</f>
        <v>1055809</v>
      </c>
    </row>
    <row r="19" spans="1:11" ht="45" customHeight="1" x14ac:dyDescent="0.2">
      <c r="A19" s="109" t="s">
        <v>8</v>
      </c>
      <c r="B19" s="110"/>
      <c r="C19" s="110"/>
      <c r="D19" s="110"/>
      <c r="E19" s="110"/>
      <c r="F19" s="113" t="s">
        <v>9</v>
      </c>
      <c r="G19" s="113" t="s">
        <v>37</v>
      </c>
      <c r="H19" s="113" t="s">
        <v>29</v>
      </c>
      <c r="I19" s="113" t="s">
        <v>30</v>
      </c>
      <c r="J19" s="113" t="s">
        <v>33</v>
      </c>
      <c r="K19" s="113" t="s">
        <v>34</v>
      </c>
    </row>
    <row r="20" spans="1:11" ht="18" customHeight="1" x14ac:dyDescent="0.2">
      <c r="A20" s="111" t="s">
        <v>74</v>
      </c>
      <c r="B20" s="108" t="s">
        <v>41</v>
      </c>
    </row>
    <row r="21" spans="1:11" ht="18" customHeight="1" x14ac:dyDescent="0.2">
      <c r="A21" s="148" t="s">
        <v>75</v>
      </c>
      <c r="B21" s="107" t="s">
        <v>42</v>
      </c>
      <c r="F21" s="221">
        <v>8640.5</v>
      </c>
      <c r="G21" s="221">
        <v>11736</v>
      </c>
      <c r="H21" s="118">
        <v>378682</v>
      </c>
      <c r="I21" s="133">
        <f t="shared" ref="I21:I34" si="0">H21*F$114</f>
        <v>285715.56899999996</v>
      </c>
      <c r="J21" s="118">
        <v>15239</v>
      </c>
      <c r="K21" s="118">
        <f t="shared" ref="K21:K34" si="1">(H21+I21)-J21</f>
        <v>649158.5689999999</v>
      </c>
    </row>
    <row r="22" spans="1:11" ht="18" customHeight="1" x14ac:dyDescent="0.2">
      <c r="A22" s="148" t="s">
        <v>76</v>
      </c>
      <c r="B22" s="151" t="s">
        <v>6</v>
      </c>
      <c r="F22" s="221">
        <v>174.5</v>
      </c>
      <c r="G22" s="221">
        <v>1287</v>
      </c>
      <c r="H22" s="118">
        <v>5175</v>
      </c>
      <c r="I22" s="133">
        <f t="shared" si="0"/>
        <v>3904.5374999999999</v>
      </c>
      <c r="J22" s="118">
        <v>0</v>
      </c>
      <c r="K22" s="118">
        <f t="shared" si="1"/>
        <v>9079.5375000000004</v>
      </c>
    </row>
    <row r="23" spans="1:11" ht="18" customHeight="1" x14ac:dyDescent="0.2">
      <c r="A23" s="148" t="s">
        <v>77</v>
      </c>
      <c r="B23" s="151" t="s">
        <v>43</v>
      </c>
      <c r="F23" s="221">
        <v>0</v>
      </c>
      <c r="G23" s="221">
        <v>0</v>
      </c>
      <c r="H23" s="118">
        <v>0</v>
      </c>
      <c r="I23" s="133">
        <f t="shared" si="0"/>
        <v>0</v>
      </c>
      <c r="J23" s="118">
        <v>0</v>
      </c>
      <c r="K23" s="118">
        <f t="shared" si="1"/>
        <v>0</v>
      </c>
    </row>
    <row r="24" spans="1:11" ht="18" customHeight="1" x14ac:dyDescent="0.2">
      <c r="A24" s="148" t="s">
        <v>78</v>
      </c>
      <c r="B24" s="151" t="s">
        <v>44</v>
      </c>
      <c r="F24" s="221">
        <v>0</v>
      </c>
      <c r="G24" s="221">
        <v>0</v>
      </c>
      <c r="H24" s="118">
        <v>0</v>
      </c>
      <c r="I24" s="133">
        <f t="shared" si="0"/>
        <v>0</v>
      </c>
      <c r="J24" s="118">
        <v>0</v>
      </c>
      <c r="K24" s="118">
        <f t="shared" si="1"/>
        <v>0</v>
      </c>
    </row>
    <row r="25" spans="1:11" ht="18" customHeight="1" x14ac:dyDescent="0.2">
      <c r="A25" s="148" t="s">
        <v>79</v>
      </c>
      <c r="B25" s="151" t="s">
        <v>5</v>
      </c>
      <c r="F25" s="221">
        <v>2525</v>
      </c>
      <c r="G25" s="221">
        <v>801</v>
      </c>
      <c r="H25" s="405">
        <v>110152</v>
      </c>
      <c r="I25" s="133">
        <f t="shared" si="0"/>
        <v>83109.683999999994</v>
      </c>
      <c r="J25" s="118">
        <v>0</v>
      </c>
      <c r="K25" s="118">
        <f t="shared" si="1"/>
        <v>193261.68400000001</v>
      </c>
    </row>
    <row r="26" spans="1:11" ht="18" customHeight="1" x14ac:dyDescent="0.2">
      <c r="A26" s="148" t="s">
        <v>80</v>
      </c>
      <c r="B26" s="151" t="s">
        <v>45</v>
      </c>
      <c r="F26" s="221">
        <v>36</v>
      </c>
      <c r="G26" s="221">
        <v>18</v>
      </c>
      <c r="H26" s="118">
        <v>2495</v>
      </c>
      <c r="I26" s="133">
        <f t="shared" si="0"/>
        <v>1882.4775</v>
      </c>
      <c r="J26" s="118">
        <v>0</v>
      </c>
      <c r="K26" s="118">
        <f t="shared" si="1"/>
        <v>4377.4775</v>
      </c>
    </row>
    <row r="27" spans="1:11" ht="18" customHeight="1" x14ac:dyDescent="0.2">
      <c r="A27" s="148" t="s">
        <v>81</v>
      </c>
      <c r="B27" s="151" t="s">
        <v>536</v>
      </c>
      <c r="F27" s="221">
        <v>0</v>
      </c>
      <c r="G27" s="221">
        <v>0</v>
      </c>
      <c r="H27" s="118">
        <v>0</v>
      </c>
      <c r="I27" s="133">
        <f t="shared" si="0"/>
        <v>0</v>
      </c>
      <c r="J27" s="118">
        <v>0</v>
      </c>
      <c r="K27" s="118">
        <f t="shared" si="1"/>
        <v>0</v>
      </c>
    </row>
    <row r="28" spans="1:11" ht="18" customHeight="1" x14ac:dyDescent="0.2">
      <c r="A28" s="148" t="s">
        <v>82</v>
      </c>
      <c r="B28" s="151" t="s">
        <v>47</v>
      </c>
      <c r="F28" s="221">
        <v>0</v>
      </c>
      <c r="G28" s="221">
        <v>0</v>
      </c>
      <c r="H28" s="118">
        <v>0</v>
      </c>
      <c r="I28" s="133">
        <f t="shared" si="0"/>
        <v>0</v>
      </c>
      <c r="J28" s="118">
        <v>0</v>
      </c>
      <c r="K28" s="118">
        <f t="shared" si="1"/>
        <v>0</v>
      </c>
    </row>
    <row r="29" spans="1:11" ht="18" customHeight="1" x14ac:dyDescent="0.2">
      <c r="A29" s="148" t="s">
        <v>83</v>
      </c>
      <c r="B29" s="151" t="s">
        <v>48</v>
      </c>
      <c r="F29" s="221">
        <v>9541.7999999999993</v>
      </c>
      <c r="G29" s="221">
        <v>17304</v>
      </c>
      <c r="H29" s="118">
        <v>544812</v>
      </c>
      <c r="I29" s="133">
        <f t="shared" si="0"/>
        <v>411060.65399999998</v>
      </c>
      <c r="J29" s="118">
        <v>0</v>
      </c>
      <c r="K29" s="118">
        <f t="shared" si="1"/>
        <v>955872.65399999998</v>
      </c>
    </row>
    <row r="30" spans="1:11" ht="18" customHeight="1" x14ac:dyDescent="0.2">
      <c r="A30" s="148" t="s">
        <v>84</v>
      </c>
      <c r="B30" s="368"/>
      <c r="C30" s="369"/>
      <c r="D30" s="370"/>
      <c r="F30" s="221"/>
      <c r="G30" s="221"/>
      <c r="H30" s="118"/>
      <c r="I30" s="133">
        <f t="shared" si="0"/>
        <v>0</v>
      </c>
      <c r="J30" s="118"/>
      <c r="K30" s="118">
        <f t="shared" si="1"/>
        <v>0</v>
      </c>
    </row>
    <row r="31" spans="1:11" ht="18" customHeight="1" x14ac:dyDescent="0.2">
      <c r="A31" s="148" t="s">
        <v>133</v>
      </c>
      <c r="B31" s="368"/>
      <c r="C31" s="369"/>
      <c r="D31" s="370"/>
      <c r="F31" s="221"/>
      <c r="G31" s="221"/>
      <c r="H31" s="118"/>
      <c r="I31" s="133">
        <f t="shared" si="0"/>
        <v>0</v>
      </c>
      <c r="J31" s="118"/>
      <c r="K31" s="118">
        <f t="shared" si="1"/>
        <v>0</v>
      </c>
    </row>
    <row r="32" spans="1:11" ht="18" customHeight="1" x14ac:dyDescent="0.2">
      <c r="A32" s="148" t="s">
        <v>134</v>
      </c>
      <c r="B32" s="238"/>
      <c r="C32" s="239"/>
      <c r="D32" s="240"/>
      <c r="F32" s="221"/>
      <c r="G32" s="255" t="s">
        <v>85</v>
      </c>
      <c r="H32" s="118"/>
      <c r="I32" s="133">
        <f t="shared" si="0"/>
        <v>0</v>
      </c>
      <c r="J32" s="118"/>
      <c r="K32" s="118">
        <f t="shared" si="1"/>
        <v>0</v>
      </c>
    </row>
    <row r="33" spans="1:11" ht="18" customHeight="1" x14ac:dyDescent="0.2">
      <c r="A33" s="148" t="s">
        <v>135</v>
      </c>
      <c r="B33" s="238"/>
      <c r="C33" s="239"/>
      <c r="D33" s="240"/>
      <c r="F33" s="221"/>
      <c r="G33" s="255" t="s">
        <v>85</v>
      </c>
      <c r="H33" s="118"/>
      <c r="I33" s="133">
        <f t="shared" si="0"/>
        <v>0</v>
      </c>
      <c r="J33" s="118"/>
      <c r="K33" s="118">
        <f t="shared" si="1"/>
        <v>0</v>
      </c>
    </row>
    <row r="34" spans="1:11" ht="18" customHeight="1" x14ac:dyDescent="0.2">
      <c r="A34" s="148" t="s">
        <v>136</v>
      </c>
      <c r="B34" s="368"/>
      <c r="C34" s="369"/>
      <c r="D34" s="370"/>
      <c r="F34" s="221"/>
      <c r="G34" s="255" t="s">
        <v>85</v>
      </c>
      <c r="H34" s="118"/>
      <c r="I34" s="133">
        <f t="shared" si="0"/>
        <v>0</v>
      </c>
      <c r="J34" s="118"/>
      <c r="K34" s="118">
        <f t="shared" si="1"/>
        <v>0</v>
      </c>
    </row>
    <row r="35" spans="1:11" ht="18" customHeight="1" x14ac:dyDescent="0.2">
      <c r="F35" s="259"/>
      <c r="G35" s="259"/>
      <c r="H35" s="259"/>
      <c r="I35" s="259"/>
      <c r="J35" s="259"/>
      <c r="K35" s="406"/>
    </row>
    <row r="36" spans="1:11" ht="18" customHeight="1" x14ac:dyDescent="0.2">
      <c r="A36" s="111" t="s">
        <v>137</v>
      </c>
      <c r="B36" s="108" t="s">
        <v>138</v>
      </c>
      <c r="E36" s="108" t="s">
        <v>7</v>
      </c>
      <c r="F36" s="221">
        <f t="shared" ref="F36:K36" si="2">SUM(F21:F34)</f>
        <v>20917.8</v>
      </c>
      <c r="G36" s="221">
        <f t="shared" si="2"/>
        <v>31146</v>
      </c>
      <c r="H36" s="221">
        <f t="shared" si="2"/>
        <v>1041316</v>
      </c>
      <c r="I36" s="118">
        <f t="shared" si="2"/>
        <v>785672.9219999999</v>
      </c>
      <c r="J36" s="118">
        <f t="shared" si="2"/>
        <v>15239</v>
      </c>
      <c r="K36" s="118">
        <f t="shared" si="2"/>
        <v>1811749.9219999998</v>
      </c>
    </row>
    <row r="37" spans="1:11" ht="18" customHeight="1" thickBot="1" x14ac:dyDescent="0.25">
      <c r="B37" s="108"/>
      <c r="F37" s="120"/>
      <c r="G37" s="120"/>
      <c r="H37" s="121"/>
      <c r="I37" s="121"/>
      <c r="J37" s="121"/>
      <c r="K37" s="128"/>
    </row>
    <row r="38" spans="1:11" ht="42.75" customHeight="1" x14ac:dyDescent="0.2">
      <c r="F38" s="113" t="s">
        <v>9</v>
      </c>
      <c r="G38" s="113" t="s">
        <v>37</v>
      </c>
      <c r="H38" s="113" t="s">
        <v>29</v>
      </c>
      <c r="I38" s="113" t="s">
        <v>30</v>
      </c>
      <c r="J38" s="113" t="s">
        <v>33</v>
      </c>
      <c r="K38" s="113" t="s">
        <v>34</v>
      </c>
    </row>
    <row r="39" spans="1:11" ht="18.75" customHeight="1" x14ac:dyDescent="0.2">
      <c r="A39" s="111" t="s">
        <v>86</v>
      </c>
      <c r="B39" s="108" t="s">
        <v>49</v>
      </c>
    </row>
    <row r="40" spans="1:11" ht="18" customHeight="1" x14ac:dyDescent="0.2">
      <c r="A40" s="148" t="s">
        <v>87</v>
      </c>
      <c r="B40" s="151" t="s">
        <v>31</v>
      </c>
      <c r="F40" s="221">
        <v>0</v>
      </c>
      <c r="G40" s="221">
        <v>0</v>
      </c>
      <c r="H40" s="118">
        <v>0</v>
      </c>
      <c r="I40" s="133">
        <v>0</v>
      </c>
      <c r="J40" s="118">
        <v>0</v>
      </c>
      <c r="K40" s="118">
        <f t="shared" ref="K40:K47" si="3">(H40+I40)-J40</f>
        <v>0</v>
      </c>
    </row>
    <row r="41" spans="1:11" ht="18" customHeight="1" x14ac:dyDescent="0.2">
      <c r="A41" s="148" t="s">
        <v>88</v>
      </c>
      <c r="B41" s="374" t="s">
        <v>50</v>
      </c>
      <c r="C41" s="377"/>
      <c r="F41" s="221">
        <v>274.5</v>
      </c>
      <c r="G41" s="221">
        <v>12</v>
      </c>
      <c r="H41" s="118">
        <v>10860</v>
      </c>
      <c r="I41" s="133">
        <v>0</v>
      </c>
      <c r="J41" s="118">
        <v>0</v>
      </c>
      <c r="K41" s="118">
        <f t="shared" si="3"/>
        <v>10860</v>
      </c>
    </row>
    <row r="42" spans="1:11" ht="18" customHeight="1" x14ac:dyDescent="0.2">
      <c r="A42" s="148" t="s">
        <v>89</v>
      </c>
      <c r="B42" s="107" t="s">
        <v>11</v>
      </c>
      <c r="F42" s="221">
        <v>7459</v>
      </c>
      <c r="G42" s="221">
        <v>5117</v>
      </c>
      <c r="H42" s="118">
        <v>270771</v>
      </c>
      <c r="I42" s="133">
        <v>0</v>
      </c>
      <c r="J42" s="118">
        <v>3830</v>
      </c>
      <c r="K42" s="118">
        <f t="shared" si="3"/>
        <v>266941</v>
      </c>
    </row>
    <row r="43" spans="1:11" ht="18" customHeight="1" x14ac:dyDescent="0.2">
      <c r="A43" s="148" t="s">
        <v>90</v>
      </c>
      <c r="B43" s="130" t="s">
        <v>10</v>
      </c>
      <c r="C43" s="114"/>
      <c r="D43" s="114"/>
      <c r="F43" s="221">
        <v>0</v>
      </c>
      <c r="G43" s="221">
        <v>8</v>
      </c>
      <c r="H43" s="118">
        <v>6400</v>
      </c>
      <c r="I43" s="133">
        <v>0</v>
      </c>
      <c r="J43" s="118">
        <v>0</v>
      </c>
      <c r="K43" s="118">
        <f t="shared" si="3"/>
        <v>6400</v>
      </c>
    </row>
    <row r="44" spans="1:11" ht="18" customHeight="1" x14ac:dyDescent="0.2">
      <c r="A44" s="148" t="s">
        <v>91</v>
      </c>
      <c r="B44" s="368"/>
      <c r="C44" s="369"/>
      <c r="D44" s="370"/>
      <c r="F44" s="407"/>
      <c r="G44" s="407"/>
      <c r="H44" s="407"/>
      <c r="I44" s="408">
        <v>0</v>
      </c>
      <c r="J44" s="407"/>
      <c r="K44" s="134">
        <f t="shared" si="3"/>
        <v>0</v>
      </c>
    </row>
    <row r="45" spans="1:11" ht="18" customHeight="1" x14ac:dyDescent="0.2">
      <c r="A45" s="148" t="s">
        <v>139</v>
      </c>
      <c r="B45" s="368"/>
      <c r="C45" s="369"/>
      <c r="D45" s="370"/>
      <c r="F45" s="221"/>
      <c r="G45" s="221"/>
      <c r="H45" s="118"/>
      <c r="I45" s="133">
        <v>0</v>
      </c>
      <c r="J45" s="118"/>
      <c r="K45" s="118">
        <f t="shared" si="3"/>
        <v>0</v>
      </c>
    </row>
    <row r="46" spans="1:11" ht="18" customHeight="1" x14ac:dyDescent="0.2">
      <c r="A46" s="148" t="s">
        <v>140</v>
      </c>
      <c r="B46" s="368"/>
      <c r="C46" s="369"/>
      <c r="D46" s="370"/>
      <c r="F46" s="221"/>
      <c r="G46" s="221"/>
      <c r="H46" s="118"/>
      <c r="I46" s="133">
        <v>0</v>
      </c>
      <c r="J46" s="118"/>
      <c r="K46" s="118">
        <f t="shared" si="3"/>
        <v>0</v>
      </c>
    </row>
    <row r="47" spans="1:11" ht="18" customHeight="1" x14ac:dyDescent="0.2">
      <c r="A47" s="148" t="s">
        <v>141</v>
      </c>
      <c r="B47" s="368"/>
      <c r="C47" s="369"/>
      <c r="D47" s="370"/>
      <c r="F47" s="221"/>
      <c r="G47" s="221"/>
      <c r="H47" s="118"/>
      <c r="I47" s="133">
        <v>0</v>
      </c>
      <c r="J47" s="118"/>
      <c r="K47" s="118">
        <f t="shared" si="3"/>
        <v>0</v>
      </c>
    </row>
    <row r="48" spans="1:11" ht="18" customHeight="1" x14ac:dyDescent="0.2">
      <c r="F48" s="259"/>
      <c r="G48" s="259"/>
      <c r="H48" s="259"/>
      <c r="I48" s="259"/>
      <c r="J48" s="259"/>
      <c r="K48" s="259"/>
    </row>
    <row r="49" spans="1:11" ht="18" customHeight="1" x14ac:dyDescent="0.2">
      <c r="A49" s="111" t="s">
        <v>142</v>
      </c>
      <c r="B49" s="108" t="s">
        <v>143</v>
      </c>
      <c r="E49" s="108" t="s">
        <v>7</v>
      </c>
      <c r="F49" s="409">
        <f t="shared" ref="F49:K49" si="4">SUM(F40:F47)</f>
        <v>7733.5</v>
      </c>
      <c r="G49" s="409">
        <f t="shared" si="4"/>
        <v>5137</v>
      </c>
      <c r="H49" s="118">
        <f t="shared" si="4"/>
        <v>288031</v>
      </c>
      <c r="I49" s="118">
        <f t="shared" si="4"/>
        <v>0</v>
      </c>
      <c r="J49" s="118">
        <f t="shared" si="4"/>
        <v>3830</v>
      </c>
      <c r="K49" s="118">
        <f t="shared" si="4"/>
        <v>284201</v>
      </c>
    </row>
    <row r="50" spans="1:11" ht="18" customHeight="1" thickBot="1" x14ac:dyDescent="0.25">
      <c r="G50" s="123"/>
      <c r="H50" s="123"/>
      <c r="I50" s="123"/>
      <c r="J50" s="123"/>
      <c r="K50" s="123"/>
    </row>
    <row r="51" spans="1:11" ht="42.75" customHeight="1" x14ac:dyDescent="0.2">
      <c r="F51" s="113" t="s">
        <v>9</v>
      </c>
      <c r="G51" s="113" t="s">
        <v>37</v>
      </c>
      <c r="H51" s="113" t="s">
        <v>29</v>
      </c>
      <c r="I51" s="113" t="s">
        <v>30</v>
      </c>
      <c r="J51" s="113" t="s">
        <v>33</v>
      </c>
      <c r="K51" s="113" t="s">
        <v>34</v>
      </c>
    </row>
    <row r="52" spans="1:11" ht="18" customHeight="1" x14ac:dyDescent="0.2">
      <c r="A52" s="111" t="s">
        <v>92</v>
      </c>
      <c r="B52" s="375" t="s">
        <v>38</v>
      </c>
      <c r="C52" s="376"/>
    </row>
    <row r="53" spans="1:11" ht="18" customHeight="1" x14ac:dyDescent="0.2">
      <c r="A53" s="148" t="s">
        <v>51</v>
      </c>
      <c r="B53" s="410" t="s">
        <v>532</v>
      </c>
      <c r="C53" s="411"/>
      <c r="D53" s="412"/>
      <c r="F53" s="221">
        <v>11614</v>
      </c>
      <c r="G53" s="221">
        <v>11640</v>
      </c>
      <c r="H53" s="118">
        <v>751858</v>
      </c>
      <c r="I53" s="133">
        <v>0</v>
      </c>
      <c r="J53" s="118">
        <v>193444</v>
      </c>
      <c r="K53" s="118">
        <f t="shared" ref="K53:K62" si="5">(H53+I53)-J53</f>
        <v>558414</v>
      </c>
    </row>
    <row r="54" spans="1:11" ht="18" customHeight="1" x14ac:dyDescent="0.2">
      <c r="A54" s="148" t="s">
        <v>93</v>
      </c>
      <c r="B54" s="413" t="s">
        <v>340</v>
      </c>
      <c r="C54" s="414"/>
      <c r="D54" s="415"/>
      <c r="F54" s="221">
        <v>1820</v>
      </c>
      <c r="G54" s="221">
        <v>350</v>
      </c>
      <c r="H54" s="118">
        <v>53852</v>
      </c>
      <c r="I54" s="133">
        <v>0</v>
      </c>
      <c r="J54" s="118">
        <v>0</v>
      </c>
      <c r="K54" s="118">
        <f t="shared" si="5"/>
        <v>53852</v>
      </c>
    </row>
    <row r="55" spans="1:11" ht="18" customHeight="1" x14ac:dyDescent="0.2">
      <c r="A55" s="148" t="s">
        <v>94</v>
      </c>
      <c r="B55" s="416" t="s">
        <v>478</v>
      </c>
      <c r="C55" s="417"/>
      <c r="D55" s="412"/>
      <c r="F55" s="221">
        <v>0</v>
      </c>
      <c r="G55" s="221">
        <v>0</v>
      </c>
      <c r="H55" s="118">
        <v>3965701</v>
      </c>
      <c r="I55" s="133">
        <v>0</v>
      </c>
      <c r="J55" s="118">
        <v>0</v>
      </c>
      <c r="K55" s="118">
        <f t="shared" si="5"/>
        <v>3965701</v>
      </c>
    </row>
    <row r="56" spans="1:11" ht="18" customHeight="1" x14ac:dyDescent="0.2">
      <c r="A56" s="148" t="s">
        <v>95</v>
      </c>
      <c r="B56" s="416" t="s">
        <v>533</v>
      </c>
      <c r="C56" s="417"/>
      <c r="D56" s="412"/>
      <c r="F56" s="221">
        <v>3581</v>
      </c>
      <c r="G56" s="221">
        <v>1324</v>
      </c>
      <c r="H56" s="118">
        <v>5454962.8399999999</v>
      </c>
      <c r="I56" s="133">
        <v>0</v>
      </c>
      <c r="J56" s="118">
        <v>150337</v>
      </c>
      <c r="K56" s="118">
        <f t="shared" si="5"/>
        <v>5304625.84</v>
      </c>
    </row>
    <row r="57" spans="1:11" ht="18" customHeight="1" x14ac:dyDescent="0.2">
      <c r="A57" s="148" t="s">
        <v>96</v>
      </c>
      <c r="B57" s="416" t="s">
        <v>341</v>
      </c>
      <c r="C57" s="417"/>
      <c r="D57" s="412"/>
      <c r="F57" s="221">
        <v>14218</v>
      </c>
      <c r="G57" s="221">
        <v>12221</v>
      </c>
      <c r="H57" s="118">
        <v>2072821</v>
      </c>
      <c r="I57" s="133">
        <v>0</v>
      </c>
      <c r="J57" s="118">
        <v>1008932</v>
      </c>
      <c r="K57" s="118">
        <f t="shared" si="5"/>
        <v>1063889</v>
      </c>
    </row>
    <row r="58" spans="1:11" ht="18" customHeight="1" x14ac:dyDescent="0.2">
      <c r="A58" s="148" t="s">
        <v>97</v>
      </c>
      <c r="B58" s="413" t="s">
        <v>534</v>
      </c>
      <c r="C58" s="414"/>
      <c r="D58" s="415"/>
      <c r="F58" s="255">
        <v>0</v>
      </c>
      <c r="G58" s="221">
        <v>85</v>
      </c>
      <c r="H58" s="118">
        <v>204027.02</v>
      </c>
      <c r="I58" s="133">
        <v>0</v>
      </c>
      <c r="J58" s="118">
        <v>0</v>
      </c>
      <c r="K58" s="118">
        <f t="shared" si="5"/>
        <v>204027.02</v>
      </c>
    </row>
    <row r="59" spans="1:11" ht="18" customHeight="1" x14ac:dyDescent="0.2">
      <c r="A59" s="148" t="s">
        <v>98</v>
      </c>
      <c r="B59" s="416" t="s">
        <v>713</v>
      </c>
      <c r="C59" s="417"/>
      <c r="D59" s="412"/>
      <c r="F59" s="221">
        <v>0</v>
      </c>
      <c r="G59" s="221">
        <v>0</v>
      </c>
      <c r="H59" s="118">
        <v>3299300</v>
      </c>
      <c r="I59" s="133">
        <v>0</v>
      </c>
      <c r="J59" s="118">
        <v>0</v>
      </c>
      <c r="K59" s="118">
        <f t="shared" si="5"/>
        <v>3299300</v>
      </c>
    </row>
    <row r="60" spans="1:11" ht="18" customHeight="1" x14ac:dyDescent="0.2">
      <c r="A60" s="148" t="s">
        <v>99</v>
      </c>
      <c r="B60" s="413" t="s">
        <v>714</v>
      </c>
      <c r="C60" s="414"/>
      <c r="D60" s="415"/>
      <c r="F60" s="221">
        <v>93294</v>
      </c>
      <c r="G60" s="221">
        <v>214334</v>
      </c>
      <c r="H60" s="118">
        <v>3066232</v>
      </c>
      <c r="I60" s="133">
        <v>0</v>
      </c>
      <c r="J60" s="118">
        <v>3062409</v>
      </c>
      <c r="K60" s="118">
        <f t="shared" si="5"/>
        <v>3823</v>
      </c>
    </row>
    <row r="61" spans="1:11" ht="18" customHeight="1" x14ac:dyDescent="0.2">
      <c r="A61" s="148" t="s">
        <v>100</v>
      </c>
      <c r="B61" s="413" t="s">
        <v>535</v>
      </c>
      <c r="C61" s="414"/>
      <c r="D61" s="415"/>
      <c r="F61" s="221">
        <v>16243</v>
      </c>
      <c r="G61" s="221">
        <v>6665</v>
      </c>
      <c r="H61" s="118">
        <v>1488368</v>
      </c>
      <c r="I61" s="133">
        <v>0</v>
      </c>
      <c r="J61" s="118">
        <v>643494</v>
      </c>
      <c r="K61" s="118">
        <f t="shared" si="5"/>
        <v>844874</v>
      </c>
    </row>
    <row r="62" spans="1:11" ht="18" customHeight="1" x14ac:dyDescent="0.2">
      <c r="A62" s="148" t="s">
        <v>101</v>
      </c>
      <c r="B62" s="418"/>
      <c r="C62" s="417"/>
      <c r="D62" s="412"/>
      <c r="F62" s="221"/>
      <c r="G62" s="221"/>
      <c r="H62" s="118"/>
      <c r="I62" s="133">
        <v>0</v>
      </c>
      <c r="J62" s="118"/>
      <c r="K62" s="118">
        <f t="shared" si="5"/>
        <v>0</v>
      </c>
    </row>
    <row r="63" spans="1:11" ht="18" customHeight="1" x14ac:dyDescent="0.2">
      <c r="A63" s="148"/>
      <c r="F63" s="259"/>
      <c r="G63" s="259"/>
      <c r="H63" s="259"/>
      <c r="I63" s="129"/>
      <c r="J63" s="259"/>
      <c r="K63" s="259"/>
    </row>
    <row r="64" spans="1:11" ht="18" customHeight="1" x14ac:dyDescent="0.2">
      <c r="A64" s="148" t="s">
        <v>144</v>
      </c>
      <c r="B64" s="108" t="s">
        <v>145</v>
      </c>
      <c r="E64" s="108" t="s">
        <v>7</v>
      </c>
      <c r="F64" s="221">
        <f t="shared" ref="F64:K64" si="6">SUM(F53:F62)</f>
        <v>140770</v>
      </c>
      <c r="G64" s="221">
        <f t="shared" si="6"/>
        <v>246619</v>
      </c>
      <c r="H64" s="118">
        <f t="shared" si="6"/>
        <v>20357121.859999999</v>
      </c>
      <c r="I64" s="118">
        <f t="shared" si="6"/>
        <v>0</v>
      </c>
      <c r="J64" s="118">
        <f t="shared" si="6"/>
        <v>5058616</v>
      </c>
      <c r="K64" s="118">
        <f t="shared" si="6"/>
        <v>15298505.859999999</v>
      </c>
    </row>
    <row r="65" spans="1:11" ht="18" customHeight="1" x14ac:dyDescent="0.2">
      <c r="F65" s="131"/>
      <c r="G65" s="131"/>
      <c r="H65" s="131"/>
      <c r="I65" s="131"/>
      <c r="J65" s="131"/>
      <c r="K65" s="131"/>
    </row>
    <row r="66" spans="1:11" ht="42.75" customHeight="1" x14ac:dyDescent="0.2">
      <c r="F66" s="135" t="s">
        <v>9</v>
      </c>
      <c r="G66" s="135" t="s">
        <v>37</v>
      </c>
      <c r="H66" s="135" t="s">
        <v>29</v>
      </c>
      <c r="I66" s="135" t="s">
        <v>30</v>
      </c>
      <c r="J66" s="135" t="s">
        <v>33</v>
      </c>
      <c r="K66" s="135" t="s">
        <v>34</v>
      </c>
    </row>
    <row r="67" spans="1:11" ht="18" customHeight="1" x14ac:dyDescent="0.2">
      <c r="A67" s="111" t="s">
        <v>102</v>
      </c>
      <c r="B67" s="108" t="s">
        <v>12</v>
      </c>
      <c r="F67" s="136"/>
      <c r="G67" s="136"/>
      <c r="H67" s="136"/>
      <c r="I67" s="137"/>
      <c r="J67" s="136"/>
      <c r="K67" s="138"/>
    </row>
    <row r="68" spans="1:11" ht="18" customHeight="1" x14ac:dyDescent="0.2">
      <c r="A68" s="148" t="s">
        <v>103</v>
      </c>
      <c r="B68" s="259" t="s">
        <v>52</v>
      </c>
      <c r="C68" s="259"/>
      <c r="D68" s="259"/>
      <c r="E68" s="259"/>
      <c r="F68" s="122"/>
      <c r="G68" s="122"/>
      <c r="H68" s="122"/>
      <c r="I68" s="133">
        <v>0</v>
      </c>
      <c r="J68" s="122"/>
      <c r="K68" s="118">
        <f>(H68+I68)-J68</f>
        <v>0</v>
      </c>
    </row>
    <row r="69" spans="1:11" ht="18" customHeight="1" x14ac:dyDescent="0.2">
      <c r="A69" s="148" t="s">
        <v>104</v>
      </c>
      <c r="B69" s="419" t="s">
        <v>53</v>
      </c>
      <c r="C69" s="259"/>
      <c r="D69" s="259"/>
      <c r="E69" s="259"/>
      <c r="F69" s="122">
        <v>15</v>
      </c>
      <c r="G69" s="122">
        <v>0</v>
      </c>
      <c r="H69" s="122">
        <v>720</v>
      </c>
      <c r="I69" s="133">
        <v>0</v>
      </c>
      <c r="J69" s="122">
        <v>0</v>
      </c>
      <c r="K69" s="118">
        <f>(H69+I69)-J69</f>
        <v>720</v>
      </c>
    </row>
    <row r="70" spans="1:11" ht="18" customHeight="1" x14ac:dyDescent="0.2">
      <c r="A70" s="148" t="s">
        <v>178</v>
      </c>
      <c r="B70" s="420"/>
      <c r="C70" s="414"/>
      <c r="D70" s="415"/>
      <c r="E70" s="421"/>
      <c r="F70" s="422"/>
      <c r="G70" s="422"/>
      <c r="H70" s="423"/>
      <c r="I70" s="133">
        <v>0</v>
      </c>
      <c r="J70" s="423"/>
      <c r="K70" s="118">
        <f>(H70+I70)-J70</f>
        <v>0</v>
      </c>
    </row>
    <row r="71" spans="1:11" ht="18" customHeight="1" x14ac:dyDescent="0.2">
      <c r="A71" s="148" t="s">
        <v>179</v>
      </c>
      <c r="B71" s="420"/>
      <c r="C71" s="414"/>
      <c r="D71" s="415"/>
      <c r="E71" s="421"/>
      <c r="F71" s="422"/>
      <c r="G71" s="422"/>
      <c r="H71" s="423"/>
      <c r="I71" s="133">
        <v>0</v>
      </c>
      <c r="J71" s="423"/>
      <c r="K71" s="118">
        <f>(H71+I71)-J71</f>
        <v>0</v>
      </c>
    </row>
    <row r="72" spans="1:11" ht="18" customHeight="1" x14ac:dyDescent="0.2">
      <c r="A72" s="148" t="s">
        <v>180</v>
      </c>
      <c r="B72" s="424"/>
      <c r="C72" s="425"/>
      <c r="D72" s="426"/>
      <c r="E72" s="421"/>
      <c r="F72" s="221"/>
      <c r="G72" s="221"/>
      <c r="H72" s="118"/>
      <c r="I72" s="133">
        <v>0</v>
      </c>
      <c r="J72" s="118"/>
      <c r="K72" s="118">
        <f>(H72+I72)-J72</f>
        <v>0</v>
      </c>
    </row>
    <row r="73" spans="1:11" ht="18" customHeight="1" x14ac:dyDescent="0.2">
      <c r="A73" s="148"/>
      <c r="B73" s="419"/>
      <c r="C73" s="259"/>
      <c r="D73" s="259"/>
      <c r="E73" s="421"/>
      <c r="F73" s="427"/>
      <c r="G73" s="427"/>
      <c r="H73" s="137"/>
      <c r="I73" s="137"/>
      <c r="J73" s="137"/>
      <c r="K73" s="137"/>
    </row>
    <row r="74" spans="1:11" ht="18" customHeight="1" x14ac:dyDescent="0.2">
      <c r="A74" s="111" t="s">
        <v>146</v>
      </c>
      <c r="B74" s="421" t="s">
        <v>147</v>
      </c>
      <c r="C74" s="259"/>
      <c r="D74" s="259"/>
      <c r="E74" s="421" t="s">
        <v>7</v>
      </c>
      <c r="F74" s="122">
        <f t="shared" ref="F74:K74" si="7">SUM(F68:F72)</f>
        <v>15</v>
      </c>
      <c r="G74" s="122">
        <f t="shared" si="7"/>
        <v>0</v>
      </c>
      <c r="H74" s="122">
        <f t="shared" si="7"/>
        <v>720</v>
      </c>
      <c r="I74" s="133">
        <f t="shared" si="7"/>
        <v>0</v>
      </c>
      <c r="J74" s="122">
        <f t="shared" si="7"/>
        <v>0</v>
      </c>
      <c r="K74" s="118">
        <f t="shared" si="7"/>
        <v>720</v>
      </c>
    </row>
    <row r="75" spans="1:11" ht="42.75" customHeight="1" x14ac:dyDescent="0.2">
      <c r="F75" s="113" t="s">
        <v>9</v>
      </c>
      <c r="G75" s="113" t="s">
        <v>37</v>
      </c>
      <c r="H75" s="113" t="s">
        <v>29</v>
      </c>
      <c r="I75" s="113" t="s">
        <v>30</v>
      </c>
      <c r="J75" s="113" t="s">
        <v>33</v>
      </c>
      <c r="K75" s="113" t="s">
        <v>34</v>
      </c>
    </row>
    <row r="76" spans="1:11" ht="18" customHeight="1" x14ac:dyDescent="0.2">
      <c r="A76" s="111" t="s">
        <v>105</v>
      </c>
      <c r="B76" s="108" t="s">
        <v>106</v>
      </c>
    </row>
    <row r="77" spans="1:11" ht="18" customHeight="1" x14ac:dyDescent="0.2">
      <c r="A77" s="148" t="s">
        <v>107</v>
      </c>
      <c r="B77" s="107" t="s">
        <v>54</v>
      </c>
      <c r="F77" s="221">
        <v>0</v>
      </c>
      <c r="G77" s="221">
        <v>0</v>
      </c>
      <c r="H77" s="118">
        <v>67580</v>
      </c>
      <c r="I77" s="133">
        <v>0</v>
      </c>
      <c r="J77" s="118">
        <v>5290</v>
      </c>
      <c r="K77" s="118">
        <f>(H77+I77)-J77</f>
        <v>62290</v>
      </c>
    </row>
    <row r="78" spans="1:11" ht="18" customHeight="1" x14ac:dyDescent="0.2">
      <c r="A78" s="148" t="s">
        <v>108</v>
      </c>
      <c r="B78" s="107" t="s">
        <v>55</v>
      </c>
      <c r="F78" s="221">
        <v>3661</v>
      </c>
      <c r="G78" s="221">
        <v>183</v>
      </c>
      <c r="H78" s="118">
        <v>385151</v>
      </c>
      <c r="I78" s="133">
        <v>0</v>
      </c>
      <c r="J78" s="118">
        <v>158457</v>
      </c>
      <c r="K78" s="118">
        <f>(H78+I78)-J78</f>
        <v>226694</v>
      </c>
    </row>
    <row r="79" spans="1:11" ht="18" customHeight="1" x14ac:dyDescent="0.2">
      <c r="A79" s="148" t="s">
        <v>109</v>
      </c>
      <c r="B79" s="107" t="s">
        <v>13</v>
      </c>
      <c r="F79" s="221">
        <v>62.8</v>
      </c>
      <c r="G79" s="221">
        <v>41</v>
      </c>
      <c r="H79" s="118">
        <v>51554</v>
      </c>
      <c r="I79" s="133">
        <v>0</v>
      </c>
      <c r="J79" s="118">
        <v>0</v>
      </c>
      <c r="K79" s="118">
        <f>(H79+I79)-J79</f>
        <v>51554</v>
      </c>
    </row>
    <row r="80" spans="1:11" ht="18" customHeight="1" x14ac:dyDescent="0.2">
      <c r="A80" s="148" t="s">
        <v>110</v>
      </c>
      <c r="B80" s="107" t="s">
        <v>56</v>
      </c>
      <c r="F80" s="221"/>
      <c r="G80" s="221"/>
      <c r="H80" s="118"/>
      <c r="I80" s="133">
        <v>0</v>
      </c>
      <c r="J80" s="118"/>
      <c r="K80" s="118">
        <f>(H80+I80)-J80</f>
        <v>0</v>
      </c>
    </row>
    <row r="81" spans="1:11" ht="18" customHeight="1" x14ac:dyDescent="0.2">
      <c r="A81" s="148"/>
      <c r="F81" s="259"/>
      <c r="G81" s="259"/>
      <c r="H81" s="259"/>
      <c r="I81" s="259"/>
      <c r="J81" s="259"/>
      <c r="K81" s="428"/>
    </row>
    <row r="82" spans="1:11" ht="18" customHeight="1" x14ac:dyDescent="0.2">
      <c r="A82" s="148" t="s">
        <v>148</v>
      </c>
      <c r="B82" s="108" t="s">
        <v>149</v>
      </c>
      <c r="E82" s="108" t="s">
        <v>7</v>
      </c>
      <c r="F82" s="122">
        <f t="shared" ref="F82:K82" si="8">SUM(F77:F80)</f>
        <v>3723.8</v>
      </c>
      <c r="G82" s="122">
        <f t="shared" si="8"/>
        <v>224</v>
      </c>
      <c r="H82" s="118">
        <f t="shared" si="8"/>
        <v>504285</v>
      </c>
      <c r="I82" s="118">
        <f t="shared" si="8"/>
        <v>0</v>
      </c>
      <c r="J82" s="118">
        <f t="shared" si="8"/>
        <v>163747</v>
      </c>
      <c r="K82" s="118">
        <f t="shared" si="8"/>
        <v>340538</v>
      </c>
    </row>
    <row r="83" spans="1:11" ht="18" customHeight="1" thickBot="1" x14ac:dyDescent="0.25">
      <c r="A83" s="148"/>
      <c r="F83" s="123"/>
      <c r="G83" s="123"/>
      <c r="H83" s="123"/>
      <c r="I83" s="123"/>
      <c r="J83" s="123"/>
      <c r="K83" s="123"/>
    </row>
    <row r="84" spans="1:11" ht="42.75" customHeight="1" x14ac:dyDescent="0.2">
      <c r="F84" s="113" t="s">
        <v>9</v>
      </c>
      <c r="G84" s="113" t="s">
        <v>37</v>
      </c>
      <c r="H84" s="113" t="s">
        <v>29</v>
      </c>
      <c r="I84" s="113" t="s">
        <v>30</v>
      </c>
      <c r="J84" s="113" t="s">
        <v>33</v>
      </c>
      <c r="K84" s="113" t="s">
        <v>34</v>
      </c>
    </row>
    <row r="85" spans="1:11" ht="18" customHeight="1" x14ac:dyDescent="0.2">
      <c r="A85" s="111" t="s">
        <v>111</v>
      </c>
      <c r="B85" s="108" t="s">
        <v>57</v>
      </c>
    </row>
    <row r="86" spans="1:11" ht="18" customHeight="1" x14ac:dyDescent="0.2">
      <c r="A86" s="148" t="s">
        <v>112</v>
      </c>
      <c r="B86" s="107" t="s">
        <v>113</v>
      </c>
      <c r="F86" s="221">
        <v>0</v>
      </c>
      <c r="G86" s="221">
        <v>0</v>
      </c>
      <c r="H86" s="118">
        <v>0</v>
      </c>
      <c r="I86" s="133">
        <f t="shared" ref="I86:I96" si="9">H86*F$114</f>
        <v>0</v>
      </c>
      <c r="J86" s="118"/>
      <c r="K86" s="118">
        <f t="shared" ref="K86:K96" si="10">(H86+I86)-J86</f>
        <v>0</v>
      </c>
    </row>
    <row r="87" spans="1:11" ht="18" customHeight="1" x14ac:dyDescent="0.2">
      <c r="A87" s="148" t="s">
        <v>114</v>
      </c>
      <c r="B87" s="107" t="s">
        <v>14</v>
      </c>
      <c r="F87" s="221">
        <v>0</v>
      </c>
      <c r="G87" s="221">
        <v>0</v>
      </c>
      <c r="H87" s="118">
        <v>10150</v>
      </c>
      <c r="I87" s="133">
        <f t="shared" si="9"/>
        <v>7658.1749999999993</v>
      </c>
      <c r="J87" s="118"/>
      <c r="K87" s="118">
        <f t="shared" si="10"/>
        <v>17808.174999999999</v>
      </c>
    </row>
    <row r="88" spans="1:11" ht="18" customHeight="1" x14ac:dyDescent="0.2">
      <c r="A88" s="148" t="s">
        <v>115</v>
      </c>
      <c r="B88" s="107" t="s">
        <v>116</v>
      </c>
      <c r="F88" s="221">
        <v>0</v>
      </c>
      <c r="G88" s="221">
        <v>0</v>
      </c>
      <c r="H88" s="118">
        <v>2225</v>
      </c>
      <c r="I88" s="133">
        <f t="shared" si="9"/>
        <v>1678.7624999999998</v>
      </c>
      <c r="J88" s="118"/>
      <c r="K88" s="118">
        <f t="shared" si="10"/>
        <v>3903.7624999999998</v>
      </c>
    </row>
    <row r="89" spans="1:11" ht="18" customHeight="1" x14ac:dyDescent="0.2">
      <c r="A89" s="148" t="s">
        <v>117</v>
      </c>
      <c r="B89" s="107" t="s">
        <v>58</v>
      </c>
      <c r="F89" s="221">
        <v>0</v>
      </c>
      <c r="G89" s="221">
        <v>0</v>
      </c>
      <c r="H89" s="118">
        <v>0</v>
      </c>
      <c r="I89" s="133">
        <f t="shared" si="9"/>
        <v>0</v>
      </c>
      <c r="J89" s="118"/>
      <c r="K89" s="118">
        <f t="shared" si="10"/>
        <v>0</v>
      </c>
    </row>
    <row r="90" spans="1:11" ht="18" customHeight="1" x14ac:dyDescent="0.2">
      <c r="A90" s="148" t="s">
        <v>118</v>
      </c>
      <c r="B90" s="374" t="s">
        <v>59</v>
      </c>
      <c r="C90" s="377"/>
      <c r="F90" s="221">
        <v>0</v>
      </c>
      <c r="G90" s="221">
        <v>0</v>
      </c>
      <c r="H90" s="118">
        <v>6000</v>
      </c>
      <c r="I90" s="133">
        <f t="shared" si="9"/>
        <v>4527</v>
      </c>
      <c r="J90" s="118"/>
      <c r="K90" s="118">
        <f t="shared" si="10"/>
        <v>10527</v>
      </c>
    </row>
    <row r="91" spans="1:11" ht="18" customHeight="1" x14ac:dyDescent="0.2">
      <c r="A91" s="148" t="s">
        <v>119</v>
      </c>
      <c r="B91" s="107" t="s">
        <v>60</v>
      </c>
      <c r="F91" s="221">
        <v>24.5</v>
      </c>
      <c r="G91" s="221">
        <v>25</v>
      </c>
      <c r="H91" s="118">
        <v>931</v>
      </c>
      <c r="I91" s="133">
        <f t="shared" si="9"/>
        <v>702.43949999999995</v>
      </c>
      <c r="J91" s="118">
        <v>0</v>
      </c>
      <c r="K91" s="118">
        <f t="shared" si="10"/>
        <v>1633.4395</v>
      </c>
    </row>
    <row r="92" spans="1:11" ht="18" customHeight="1" x14ac:dyDescent="0.2">
      <c r="A92" s="148" t="s">
        <v>120</v>
      </c>
      <c r="B92" s="107" t="s">
        <v>121</v>
      </c>
      <c r="F92" s="257"/>
      <c r="G92" s="257">
        <v>4800</v>
      </c>
      <c r="H92" s="429"/>
      <c r="I92" s="133">
        <f t="shared" si="9"/>
        <v>0</v>
      </c>
      <c r="J92" s="429"/>
      <c r="K92" s="118">
        <f t="shared" si="10"/>
        <v>0</v>
      </c>
    </row>
    <row r="93" spans="1:11" ht="18" customHeight="1" x14ac:dyDescent="0.2">
      <c r="A93" s="148" t="s">
        <v>122</v>
      </c>
      <c r="B93" s="107" t="s">
        <v>123</v>
      </c>
      <c r="F93" s="221"/>
      <c r="G93" s="221"/>
      <c r="H93" s="118"/>
      <c r="I93" s="133">
        <f t="shared" si="9"/>
        <v>0</v>
      </c>
      <c r="J93" s="118"/>
      <c r="K93" s="118">
        <f t="shared" si="10"/>
        <v>0</v>
      </c>
    </row>
    <row r="94" spans="1:11" ht="18" customHeight="1" x14ac:dyDescent="0.2">
      <c r="A94" s="148" t="s">
        <v>124</v>
      </c>
      <c r="B94" s="371"/>
      <c r="C94" s="372"/>
      <c r="D94" s="373"/>
      <c r="F94" s="221"/>
      <c r="G94" s="221"/>
      <c r="H94" s="118"/>
      <c r="I94" s="133">
        <f t="shared" si="9"/>
        <v>0</v>
      </c>
      <c r="J94" s="118"/>
      <c r="K94" s="118">
        <f t="shared" si="10"/>
        <v>0</v>
      </c>
    </row>
    <row r="95" spans="1:11" ht="18" customHeight="1" x14ac:dyDescent="0.2">
      <c r="A95" s="148" t="s">
        <v>125</v>
      </c>
      <c r="B95" s="371"/>
      <c r="C95" s="372"/>
      <c r="D95" s="373"/>
      <c r="F95" s="221"/>
      <c r="G95" s="221"/>
      <c r="H95" s="118"/>
      <c r="I95" s="133">
        <f t="shared" si="9"/>
        <v>0</v>
      </c>
      <c r="J95" s="118"/>
      <c r="K95" s="118">
        <f t="shared" si="10"/>
        <v>0</v>
      </c>
    </row>
    <row r="96" spans="1:11" ht="18" customHeight="1" x14ac:dyDescent="0.2">
      <c r="A96" s="148" t="s">
        <v>126</v>
      </c>
      <c r="B96" s="371"/>
      <c r="C96" s="372"/>
      <c r="D96" s="373"/>
      <c r="F96" s="221"/>
      <c r="G96" s="221"/>
      <c r="H96" s="118"/>
      <c r="I96" s="133">
        <f t="shared" si="9"/>
        <v>0</v>
      </c>
      <c r="J96" s="118"/>
      <c r="K96" s="118">
        <f t="shared" si="10"/>
        <v>0</v>
      </c>
    </row>
    <row r="97" spans="1:11" ht="18" customHeight="1" x14ac:dyDescent="0.2">
      <c r="A97" s="148"/>
      <c r="B97" s="107"/>
      <c r="F97" s="259"/>
      <c r="G97" s="259"/>
      <c r="H97" s="259"/>
      <c r="I97" s="259"/>
      <c r="J97" s="259"/>
      <c r="K97" s="259"/>
    </row>
    <row r="98" spans="1:11" ht="18" customHeight="1" x14ac:dyDescent="0.2">
      <c r="A98" s="111" t="s">
        <v>150</v>
      </c>
      <c r="B98" s="108" t="s">
        <v>151</v>
      </c>
      <c r="E98" s="108" t="s">
        <v>7</v>
      </c>
      <c r="F98" s="221">
        <f t="shared" ref="F98:K98" si="11">SUM(F86:F96)</f>
        <v>24.5</v>
      </c>
      <c r="G98" s="221">
        <f t="shared" si="11"/>
        <v>4825</v>
      </c>
      <c r="H98" s="221">
        <f t="shared" si="11"/>
        <v>19306</v>
      </c>
      <c r="I98" s="221">
        <f t="shared" si="11"/>
        <v>14566.377</v>
      </c>
      <c r="J98" s="221">
        <f t="shared" si="11"/>
        <v>0</v>
      </c>
      <c r="K98" s="221">
        <f t="shared" si="11"/>
        <v>33872.377</v>
      </c>
    </row>
    <row r="99" spans="1:11" ht="18" customHeight="1" thickBot="1" x14ac:dyDescent="0.25">
      <c r="B99" s="108"/>
      <c r="F99" s="123"/>
      <c r="G99" s="123"/>
      <c r="H99" s="123"/>
      <c r="I99" s="123"/>
      <c r="J99" s="123"/>
      <c r="K99" s="123"/>
    </row>
    <row r="100" spans="1:11" ht="42.75" customHeight="1" x14ac:dyDescent="0.2">
      <c r="F100" s="113" t="s">
        <v>9</v>
      </c>
      <c r="G100" s="113" t="s">
        <v>37</v>
      </c>
      <c r="H100" s="113" t="s">
        <v>29</v>
      </c>
      <c r="I100" s="113" t="s">
        <v>30</v>
      </c>
      <c r="J100" s="113" t="s">
        <v>33</v>
      </c>
      <c r="K100" s="113" t="s">
        <v>34</v>
      </c>
    </row>
    <row r="101" spans="1:11" ht="18" customHeight="1" x14ac:dyDescent="0.2">
      <c r="A101" s="111" t="s">
        <v>130</v>
      </c>
      <c r="B101" s="108" t="s">
        <v>63</v>
      </c>
    </row>
    <row r="102" spans="1:11" ht="18" customHeight="1" x14ac:dyDescent="0.2">
      <c r="A102" s="148" t="s">
        <v>131</v>
      </c>
      <c r="B102" s="107" t="s">
        <v>152</v>
      </c>
      <c r="F102" s="221">
        <v>92</v>
      </c>
      <c r="G102" s="221">
        <v>1</v>
      </c>
      <c r="H102" s="118">
        <v>2839</v>
      </c>
      <c r="I102" s="133">
        <f>H102*F$114</f>
        <v>2142.0254999999997</v>
      </c>
      <c r="J102" s="118">
        <v>0</v>
      </c>
      <c r="K102" s="118">
        <f>(H102+I102)-J102</f>
        <v>4981.0254999999997</v>
      </c>
    </row>
    <row r="103" spans="1:11" ht="18" customHeight="1" x14ac:dyDescent="0.2">
      <c r="A103" s="148" t="s">
        <v>132</v>
      </c>
      <c r="B103" s="374" t="s">
        <v>62</v>
      </c>
      <c r="C103" s="374"/>
      <c r="F103" s="221">
        <v>220</v>
      </c>
      <c r="G103" s="221">
        <v>8</v>
      </c>
      <c r="H103" s="118">
        <v>9124</v>
      </c>
      <c r="I103" s="133">
        <f>H103*F$114</f>
        <v>6884.0579999999991</v>
      </c>
      <c r="J103" s="118"/>
      <c r="K103" s="118">
        <f>(H103+I103)-J103</f>
        <v>16008.057999999999</v>
      </c>
    </row>
    <row r="104" spans="1:11" ht="18" customHeight="1" x14ac:dyDescent="0.2">
      <c r="A104" s="148" t="s">
        <v>128</v>
      </c>
      <c r="B104" s="371"/>
      <c r="C104" s="372"/>
      <c r="D104" s="373"/>
      <c r="F104" s="221"/>
      <c r="G104" s="221"/>
      <c r="H104" s="118"/>
      <c r="I104" s="133">
        <f>H104*F$114</f>
        <v>0</v>
      </c>
      <c r="J104" s="118"/>
      <c r="K104" s="118">
        <f>(H104+I104)-J104</f>
        <v>0</v>
      </c>
    </row>
    <row r="105" spans="1:11" ht="18" customHeight="1" x14ac:dyDescent="0.2">
      <c r="A105" s="148" t="s">
        <v>127</v>
      </c>
      <c r="B105" s="371"/>
      <c r="C105" s="372"/>
      <c r="D105" s="373"/>
      <c r="F105" s="221"/>
      <c r="G105" s="221"/>
      <c r="H105" s="118"/>
      <c r="I105" s="133">
        <f>H105*F$114</f>
        <v>0</v>
      </c>
      <c r="J105" s="118"/>
      <c r="K105" s="118">
        <f>(H105+I105)-J105</f>
        <v>0</v>
      </c>
    </row>
    <row r="106" spans="1:11" ht="18" customHeight="1" x14ac:dyDescent="0.2">
      <c r="A106" s="148" t="s">
        <v>129</v>
      </c>
      <c r="B106" s="371"/>
      <c r="C106" s="372"/>
      <c r="D106" s="373"/>
      <c r="F106" s="221"/>
      <c r="G106" s="221"/>
      <c r="H106" s="118"/>
      <c r="I106" s="133">
        <f>H106*F$114</f>
        <v>0</v>
      </c>
      <c r="J106" s="118"/>
      <c r="K106" s="118">
        <f>(H106+I106)-J106</f>
        <v>0</v>
      </c>
    </row>
    <row r="107" spans="1:11" ht="18" customHeight="1" x14ac:dyDescent="0.2">
      <c r="B107" s="108"/>
      <c r="F107" s="259"/>
      <c r="G107" s="259"/>
      <c r="H107" s="259"/>
      <c r="I107" s="259"/>
      <c r="J107" s="259"/>
      <c r="K107" s="259"/>
    </row>
    <row r="108" spans="1:11" s="114" customFormat="1" ht="18" customHeight="1" x14ac:dyDescent="0.2">
      <c r="A108" s="111" t="s">
        <v>153</v>
      </c>
      <c r="B108" s="139" t="s">
        <v>154</v>
      </c>
      <c r="C108" s="151"/>
      <c r="D108" s="151"/>
      <c r="E108" s="108" t="s">
        <v>7</v>
      </c>
      <c r="F108" s="221">
        <f t="shared" ref="F108:K108" si="12">SUM(F102:F106)</f>
        <v>312</v>
      </c>
      <c r="G108" s="221">
        <f t="shared" si="12"/>
        <v>9</v>
      </c>
      <c r="H108" s="118">
        <f t="shared" si="12"/>
        <v>11963</v>
      </c>
      <c r="I108" s="118">
        <f t="shared" si="12"/>
        <v>9026.0834999999988</v>
      </c>
      <c r="J108" s="118">
        <f t="shared" si="12"/>
        <v>0</v>
      </c>
      <c r="K108" s="118">
        <f t="shared" si="12"/>
        <v>20989.083500000001</v>
      </c>
    </row>
    <row r="109" spans="1:11" s="114" customFormat="1" ht="18" customHeight="1" thickBot="1" x14ac:dyDescent="0.25">
      <c r="A109" s="115"/>
      <c r="B109" s="116"/>
      <c r="C109" s="117"/>
      <c r="D109" s="117"/>
      <c r="E109" s="117"/>
      <c r="F109" s="123"/>
      <c r="G109" s="123"/>
      <c r="H109" s="123"/>
      <c r="I109" s="123"/>
      <c r="J109" s="123"/>
      <c r="K109" s="123"/>
    </row>
    <row r="110" spans="1:11" s="114" customFormat="1" ht="18" customHeight="1" x14ac:dyDescent="0.2">
      <c r="A110" s="111" t="s">
        <v>156</v>
      </c>
      <c r="B110" s="108" t="s">
        <v>39</v>
      </c>
      <c r="C110" s="151"/>
      <c r="D110" s="151"/>
      <c r="E110" s="151"/>
      <c r="F110" s="151"/>
      <c r="G110" s="151"/>
      <c r="H110" s="151"/>
      <c r="I110" s="151"/>
      <c r="J110" s="151"/>
      <c r="K110" s="151"/>
    </row>
    <row r="111" spans="1:11" ht="18" customHeight="1" x14ac:dyDescent="0.2">
      <c r="A111" s="111" t="s">
        <v>155</v>
      </c>
      <c r="B111" s="108" t="s">
        <v>164</v>
      </c>
      <c r="E111" s="108" t="s">
        <v>7</v>
      </c>
      <c r="F111" s="118">
        <v>4718533.1500000004</v>
      </c>
    </row>
    <row r="112" spans="1:11" ht="18" customHeight="1" x14ac:dyDescent="0.2">
      <c r="B112" s="108"/>
      <c r="E112" s="108"/>
      <c r="F112" s="149"/>
    </row>
    <row r="113" spans="1:6" ht="18" customHeight="1" x14ac:dyDescent="0.2">
      <c r="A113" s="111"/>
      <c r="B113" s="108" t="s">
        <v>15</v>
      </c>
    </row>
    <row r="114" spans="1:6" ht="18" customHeight="1" x14ac:dyDescent="0.2">
      <c r="A114" s="148" t="s">
        <v>171</v>
      </c>
      <c r="B114" s="107" t="s">
        <v>35</v>
      </c>
      <c r="F114" s="260">
        <v>0.75449999999999995</v>
      </c>
    </row>
    <row r="115" spans="1:6" ht="18" customHeight="1" x14ac:dyDescent="0.2">
      <c r="A115" s="148"/>
      <c r="B115" s="108"/>
    </row>
    <row r="116" spans="1:6" ht="18" customHeight="1" x14ac:dyDescent="0.2">
      <c r="A116" s="148" t="s">
        <v>170</v>
      </c>
      <c r="B116" s="108" t="s">
        <v>16</v>
      </c>
    </row>
    <row r="117" spans="1:6" ht="18" customHeight="1" x14ac:dyDescent="0.2">
      <c r="A117" s="148" t="s">
        <v>172</v>
      </c>
      <c r="B117" s="107" t="s">
        <v>17</v>
      </c>
      <c r="F117" s="118">
        <v>323835910</v>
      </c>
    </row>
    <row r="118" spans="1:6" ht="18" customHeight="1" x14ac:dyDescent="0.2">
      <c r="A118" s="148" t="s">
        <v>173</v>
      </c>
      <c r="B118" s="151" t="s">
        <v>18</v>
      </c>
      <c r="F118" s="118">
        <v>13093979</v>
      </c>
    </row>
    <row r="119" spans="1:6" ht="18" customHeight="1" x14ac:dyDescent="0.2">
      <c r="A119" s="148" t="s">
        <v>174</v>
      </c>
      <c r="B119" s="108" t="s">
        <v>19</v>
      </c>
      <c r="F119" s="118">
        <f>SUM(F117:F118)</f>
        <v>336929889</v>
      </c>
    </row>
    <row r="120" spans="1:6" ht="18" customHeight="1" x14ac:dyDescent="0.2">
      <c r="A120" s="148"/>
      <c r="B120" s="108"/>
    </row>
    <row r="121" spans="1:6" ht="18" customHeight="1" x14ac:dyDescent="0.2">
      <c r="A121" s="148" t="s">
        <v>167</v>
      </c>
      <c r="B121" s="108" t="s">
        <v>36</v>
      </c>
      <c r="F121" s="118">
        <v>314735209</v>
      </c>
    </row>
    <row r="122" spans="1:6" ht="18" customHeight="1" x14ac:dyDescent="0.2">
      <c r="A122" s="148"/>
    </row>
    <row r="123" spans="1:6" ht="18" customHeight="1" x14ac:dyDescent="0.2">
      <c r="A123" s="148" t="s">
        <v>175</v>
      </c>
      <c r="B123" s="108" t="s">
        <v>20</v>
      </c>
      <c r="F123" s="118">
        <v>22194680</v>
      </c>
    </row>
    <row r="124" spans="1:6" ht="18" customHeight="1" x14ac:dyDescent="0.2">
      <c r="A124" s="148"/>
    </row>
    <row r="125" spans="1:6" ht="18" customHeight="1" x14ac:dyDescent="0.2">
      <c r="A125" s="148" t="s">
        <v>176</v>
      </c>
      <c r="B125" s="108" t="s">
        <v>21</v>
      </c>
      <c r="F125" s="118">
        <v>7196140</v>
      </c>
    </row>
    <row r="126" spans="1:6" ht="18" customHeight="1" x14ac:dyDescent="0.2">
      <c r="A126" s="148"/>
    </row>
    <row r="127" spans="1:6" ht="18" customHeight="1" x14ac:dyDescent="0.2">
      <c r="A127" s="148" t="s">
        <v>177</v>
      </c>
      <c r="B127" s="108" t="s">
        <v>22</v>
      </c>
      <c r="F127" s="118">
        <v>29390820</v>
      </c>
    </row>
    <row r="128" spans="1:6" ht="18" customHeight="1" x14ac:dyDescent="0.2">
      <c r="A128" s="148"/>
    </row>
    <row r="129" spans="1:11" ht="42.75" customHeight="1" x14ac:dyDescent="0.2">
      <c r="F129" s="113" t="s">
        <v>9</v>
      </c>
      <c r="G129" s="113" t="s">
        <v>37</v>
      </c>
      <c r="H129" s="113" t="s">
        <v>29</v>
      </c>
      <c r="I129" s="113" t="s">
        <v>30</v>
      </c>
      <c r="J129" s="113" t="s">
        <v>33</v>
      </c>
      <c r="K129" s="113" t="s">
        <v>34</v>
      </c>
    </row>
    <row r="130" spans="1:11" ht="18" customHeight="1" x14ac:dyDescent="0.2">
      <c r="A130" s="111" t="s">
        <v>157</v>
      </c>
      <c r="B130" s="108" t="s">
        <v>23</v>
      </c>
    </row>
    <row r="131" spans="1:11" ht="18" customHeight="1" x14ac:dyDescent="0.2">
      <c r="A131" s="148" t="s">
        <v>158</v>
      </c>
      <c r="B131" s="151" t="s">
        <v>24</v>
      </c>
      <c r="F131" s="221"/>
      <c r="G131" s="221"/>
      <c r="H131" s="118"/>
      <c r="I131" s="133">
        <v>0</v>
      </c>
      <c r="J131" s="118"/>
      <c r="K131" s="118">
        <f>(H131+I131)-J131</f>
        <v>0</v>
      </c>
    </row>
    <row r="132" spans="1:11" ht="18" customHeight="1" x14ac:dyDescent="0.2">
      <c r="A132" s="148" t="s">
        <v>159</v>
      </c>
      <c r="B132" s="151" t="s">
        <v>25</v>
      </c>
      <c r="F132" s="221"/>
      <c r="G132" s="221"/>
      <c r="H132" s="118"/>
      <c r="I132" s="133">
        <v>0</v>
      </c>
      <c r="J132" s="118"/>
      <c r="K132" s="118">
        <f>(H132+I132)-J132</f>
        <v>0</v>
      </c>
    </row>
    <row r="133" spans="1:11" ht="18" customHeight="1" x14ac:dyDescent="0.2">
      <c r="A133" s="148" t="s">
        <v>160</v>
      </c>
      <c r="B133" s="368"/>
      <c r="C133" s="369"/>
      <c r="D133" s="370"/>
      <c r="F133" s="221"/>
      <c r="G133" s="221"/>
      <c r="H133" s="118"/>
      <c r="I133" s="133">
        <v>0</v>
      </c>
      <c r="J133" s="118"/>
      <c r="K133" s="118">
        <f>(H133+I133)-J133</f>
        <v>0</v>
      </c>
    </row>
    <row r="134" spans="1:11" ht="18" customHeight="1" x14ac:dyDescent="0.2">
      <c r="A134" s="148" t="s">
        <v>161</v>
      </c>
      <c r="B134" s="368"/>
      <c r="C134" s="369"/>
      <c r="D134" s="370"/>
      <c r="F134" s="221"/>
      <c r="G134" s="221"/>
      <c r="H134" s="118"/>
      <c r="I134" s="133">
        <v>0</v>
      </c>
      <c r="J134" s="118"/>
      <c r="K134" s="118">
        <f>(H134+I134)-J134</f>
        <v>0</v>
      </c>
    </row>
    <row r="135" spans="1:11" ht="18" customHeight="1" x14ac:dyDescent="0.2">
      <c r="A135" s="148" t="s">
        <v>162</v>
      </c>
      <c r="B135" s="368"/>
      <c r="C135" s="369"/>
      <c r="D135" s="370"/>
      <c r="F135" s="221"/>
      <c r="G135" s="221"/>
      <c r="H135" s="118"/>
      <c r="I135" s="133">
        <v>0</v>
      </c>
      <c r="J135" s="118"/>
      <c r="K135" s="118">
        <f>(H135+I135)-J135</f>
        <v>0</v>
      </c>
    </row>
    <row r="136" spans="1:11" ht="18" customHeight="1" x14ac:dyDescent="0.2">
      <c r="A136" s="111"/>
      <c r="F136" s="259"/>
      <c r="G136" s="259"/>
      <c r="H136" s="259"/>
      <c r="I136" s="259"/>
      <c r="J136" s="259"/>
      <c r="K136" s="259"/>
    </row>
    <row r="137" spans="1:11" ht="18" customHeight="1" x14ac:dyDescent="0.2">
      <c r="A137" s="111" t="s">
        <v>163</v>
      </c>
      <c r="B137" s="108" t="s">
        <v>27</v>
      </c>
      <c r="F137" s="221">
        <f t="shared" ref="F137:K137" si="13">SUM(F131:F135)</f>
        <v>0</v>
      </c>
      <c r="G137" s="221">
        <f t="shared" si="13"/>
        <v>0</v>
      </c>
      <c r="H137" s="118">
        <f t="shared" si="13"/>
        <v>0</v>
      </c>
      <c r="I137" s="118">
        <f t="shared" si="13"/>
        <v>0</v>
      </c>
      <c r="J137" s="118">
        <f t="shared" si="13"/>
        <v>0</v>
      </c>
      <c r="K137" s="118">
        <f t="shared" si="13"/>
        <v>0</v>
      </c>
    </row>
    <row r="138" spans="1:11" ht="18" customHeight="1" x14ac:dyDescent="0.2">
      <c r="A138" s="151"/>
    </row>
    <row r="139" spans="1:11" ht="42.75" customHeight="1" x14ac:dyDescent="0.2">
      <c r="F139" s="113" t="s">
        <v>9</v>
      </c>
      <c r="G139" s="113" t="s">
        <v>37</v>
      </c>
      <c r="H139" s="113" t="s">
        <v>29</v>
      </c>
      <c r="I139" s="113" t="s">
        <v>30</v>
      </c>
      <c r="J139" s="113" t="s">
        <v>33</v>
      </c>
      <c r="K139" s="113" t="s">
        <v>34</v>
      </c>
    </row>
    <row r="140" spans="1:11" ht="18" customHeight="1" x14ac:dyDescent="0.2">
      <c r="A140" s="111" t="s">
        <v>166</v>
      </c>
      <c r="B140" s="108" t="s">
        <v>26</v>
      </c>
    </row>
    <row r="141" spans="1:11" ht="18" customHeight="1" x14ac:dyDescent="0.2">
      <c r="A141" s="148" t="s">
        <v>137</v>
      </c>
      <c r="B141" s="108" t="s">
        <v>64</v>
      </c>
      <c r="F141" s="125">
        <f t="shared" ref="F141:K141" si="14">F36</f>
        <v>20917.8</v>
      </c>
      <c r="G141" s="125">
        <f t="shared" si="14"/>
        <v>31146</v>
      </c>
      <c r="H141" s="125">
        <f t="shared" si="14"/>
        <v>1041316</v>
      </c>
      <c r="I141" s="125">
        <f t="shared" si="14"/>
        <v>785672.9219999999</v>
      </c>
      <c r="J141" s="125">
        <f t="shared" si="14"/>
        <v>15239</v>
      </c>
      <c r="K141" s="125">
        <f t="shared" si="14"/>
        <v>1811749.9219999998</v>
      </c>
    </row>
    <row r="142" spans="1:11" ht="18" customHeight="1" x14ac:dyDescent="0.2">
      <c r="A142" s="148" t="s">
        <v>142</v>
      </c>
      <c r="B142" s="108" t="s">
        <v>65</v>
      </c>
      <c r="F142" s="125">
        <f t="shared" ref="F142:K142" si="15">F49</f>
        <v>7733.5</v>
      </c>
      <c r="G142" s="125">
        <f t="shared" si="15"/>
        <v>5137</v>
      </c>
      <c r="H142" s="125">
        <f t="shared" si="15"/>
        <v>288031</v>
      </c>
      <c r="I142" s="125">
        <f t="shared" si="15"/>
        <v>0</v>
      </c>
      <c r="J142" s="125">
        <f t="shared" si="15"/>
        <v>3830</v>
      </c>
      <c r="K142" s="125">
        <f t="shared" si="15"/>
        <v>284201</v>
      </c>
    </row>
    <row r="143" spans="1:11" ht="18" customHeight="1" x14ac:dyDescent="0.2">
      <c r="A143" s="148" t="s">
        <v>144</v>
      </c>
      <c r="B143" s="108" t="s">
        <v>66</v>
      </c>
      <c r="F143" s="125">
        <f t="shared" ref="F143:K143" si="16">F64</f>
        <v>140770</v>
      </c>
      <c r="G143" s="125">
        <f t="shared" si="16"/>
        <v>246619</v>
      </c>
      <c r="H143" s="125">
        <f t="shared" si="16"/>
        <v>20357121.859999999</v>
      </c>
      <c r="I143" s="125">
        <f t="shared" si="16"/>
        <v>0</v>
      </c>
      <c r="J143" s="125">
        <f t="shared" si="16"/>
        <v>5058616</v>
      </c>
      <c r="K143" s="125">
        <f t="shared" si="16"/>
        <v>15298505.859999999</v>
      </c>
    </row>
    <row r="144" spans="1:11" ht="18" customHeight="1" x14ac:dyDescent="0.2">
      <c r="A144" s="148" t="s">
        <v>146</v>
      </c>
      <c r="B144" s="108" t="s">
        <v>67</v>
      </c>
      <c r="F144" s="125">
        <f t="shared" ref="F144:K144" si="17">F74</f>
        <v>15</v>
      </c>
      <c r="G144" s="125">
        <f t="shared" si="17"/>
        <v>0</v>
      </c>
      <c r="H144" s="125">
        <f t="shared" si="17"/>
        <v>720</v>
      </c>
      <c r="I144" s="125">
        <f t="shared" si="17"/>
        <v>0</v>
      </c>
      <c r="J144" s="125">
        <f t="shared" si="17"/>
        <v>0</v>
      </c>
      <c r="K144" s="125">
        <f t="shared" si="17"/>
        <v>720</v>
      </c>
    </row>
    <row r="145" spans="1:11" ht="18" customHeight="1" x14ac:dyDescent="0.2">
      <c r="A145" s="148" t="s">
        <v>148</v>
      </c>
      <c r="B145" s="108" t="s">
        <v>68</v>
      </c>
      <c r="F145" s="125">
        <f t="shared" ref="F145:K145" si="18">F82</f>
        <v>3723.8</v>
      </c>
      <c r="G145" s="125">
        <f t="shared" si="18"/>
        <v>224</v>
      </c>
      <c r="H145" s="125">
        <f t="shared" si="18"/>
        <v>504285</v>
      </c>
      <c r="I145" s="125">
        <f t="shared" si="18"/>
        <v>0</v>
      </c>
      <c r="J145" s="125">
        <f t="shared" si="18"/>
        <v>163747</v>
      </c>
      <c r="K145" s="125">
        <f t="shared" si="18"/>
        <v>340538</v>
      </c>
    </row>
    <row r="146" spans="1:11" ht="18" customHeight="1" x14ac:dyDescent="0.2">
      <c r="A146" s="148" t="s">
        <v>150</v>
      </c>
      <c r="B146" s="108" t="s">
        <v>69</v>
      </c>
      <c r="F146" s="125">
        <f t="shared" ref="F146:K146" si="19">F98</f>
        <v>24.5</v>
      </c>
      <c r="G146" s="125">
        <f t="shared" si="19"/>
        <v>4825</v>
      </c>
      <c r="H146" s="125">
        <f t="shared" si="19"/>
        <v>19306</v>
      </c>
      <c r="I146" s="125">
        <f t="shared" si="19"/>
        <v>14566.377</v>
      </c>
      <c r="J146" s="125">
        <f t="shared" si="19"/>
        <v>0</v>
      </c>
      <c r="K146" s="125">
        <f t="shared" si="19"/>
        <v>33872.377</v>
      </c>
    </row>
    <row r="147" spans="1:11" ht="18" customHeight="1" x14ac:dyDescent="0.2">
      <c r="A147" s="148" t="s">
        <v>153</v>
      </c>
      <c r="B147" s="108" t="s">
        <v>61</v>
      </c>
      <c r="F147" s="119">
        <f t="shared" ref="F147:K147" si="20">F108</f>
        <v>312</v>
      </c>
      <c r="G147" s="119">
        <f t="shared" si="20"/>
        <v>9</v>
      </c>
      <c r="H147" s="119">
        <f t="shared" si="20"/>
        <v>11963</v>
      </c>
      <c r="I147" s="119">
        <f t="shared" si="20"/>
        <v>9026.0834999999988</v>
      </c>
      <c r="J147" s="119">
        <f t="shared" si="20"/>
        <v>0</v>
      </c>
      <c r="K147" s="119">
        <f t="shared" si="20"/>
        <v>20989.083500000001</v>
      </c>
    </row>
    <row r="148" spans="1:11" ht="18" customHeight="1" x14ac:dyDescent="0.2">
      <c r="A148" s="148" t="s">
        <v>155</v>
      </c>
      <c r="B148" s="108" t="s">
        <v>70</v>
      </c>
      <c r="F148" s="126" t="s">
        <v>73</v>
      </c>
      <c r="G148" s="126" t="s">
        <v>73</v>
      </c>
      <c r="H148" s="127" t="s">
        <v>73</v>
      </c>
      <c r="I148" s="127" t="s">
        <v>73</v>
      </c>
      <c r="J148" s="127" t="s">
        <v>73</v>
      </c>
      <c r="K148" s="124">
        <f>F111</f>
        <v>4718533.1500000004</v>
      </c>
    </row>
    <row r="149" spans="1:11" ht="18" customHeight="1" x14ac:dyDescent="0.2">
      <c r="A149" s="148" t="s">
        <v>163</v>
      </c>
      <c r="B149" s="108" t="s">
        <v>71</v>
      </c>
      <c r="F149" s="119">
        <f t="shared" ref="F149:K149" si="21">F137</f>
        <v>0</v>
      </c>
      <c r="G149" s="119">
        <f t="shared" si="21"/>
        <v>0</v>
      </c>
      <c r="H149" s="119">
        <f t="shared" si="21"/>
        <v>0</v>
      </c>
      <c r="I149" s="119">
        <f t="shared" si="21"/>
        <v>0</v>
      </c>
      <c r="J149" s="119">
        <f t="shared" si="21"/>
        <v>0</v>
      </c>
      <c r="K149" s="119">
        <f t="shared" si="21"/>
        <v>0</v>
      </c>
    </row>
    <row r="150" spans="1:11" ht="18" customHeight="1" x14ac:dyDescent="0.2">
      <c r="A150" s="148" t="s">
        <v>185</v>
      </c>
      <c r="B150" s="108" t="s">
        <v>186</v>
      </c>
      <c r="F150" s="126" t="s">
        <v>73</v>
      </c>
      <c r="G150" s="126" t="s">
        <v>73</v>
      </c>
      <c r="H150" s="119">
        <f>H18</f>
        <v>6820359</v>
      </c>
      <c r="I150" s="119">
        <f>I18</f>
        <v>0</v>
      </c>
      <c r="J150" s="119">
        <f>J18</f>
        <v>5764550</v>
      </c>
      <c r="K150" s="119">
        <f>K18</f>
        <v>1055809</v>
      </c>
    </row>
    <row r="151" spans="1:11" ht="18" customHeight="1" x14ac:dyDescent="0.2">
      <c r="B151" s="108"/>
      <c r="F151" s="131"/>
      <c r="G151" s="131"/>
      <c r="H151" s="131"/>
      <c r="I151" s="131"/>
      <c r="J151" s="131"/>
      <c r="K151" s="131"/>
    </row>
    <row r="152" spans="1:11" ht="18" customHeight="1" x14ac:dyDescent="0.2">
      <c r="A152" s="111" t="s">
        <v>165</v>
      </c>
      <c r="B152" s="108" t="s">
        <v>26</v>
      </c>
      <c r="F152" s="132">
        <f t="shared" ref="F152:K152" si="22">SUM(F141:F150)</f>
        <v>173496.59999999998</v>
      </c>
      <c r="G152" s="132">
        <f t="shared" si="22"/>
        <v>287960</v>
      </c>
      <c r="H152" s="132">
        <f t="shared" si="22"/>
        <v>29043101.859999999</v>
      </c>
      <c r="I152" s="132">
        <f t="shared" si="22"/>
        <v>809265.38249999983</v>
      </c>
      <c r="J152" s="132">
        <f t="shared" si="22"/>
        <v>11005982</v>
      </c>
      <c r="K152" s="132">
        <f t="shared" si="22"/>
        <v>23564918.392499998</v>
      </c>
    </row>
    <row r="154" spans="1:11" ht="18" customHeight="1" x14ac:dyDescent="0.2">
      <c r="A154" s="111" t="s">
        <v>168</v>
      </c>
      <c r="B154" s="108" t="s">
        <v>28</v>
      </c>
      <c r="F154" s="140">
        <f>K152/F121</f>
        <v>7.487220278713716E-2</v>
      </c>
    </row>
    <row r="155" spans="1:11" ht="18" customHeight="1" x14ac:dyDescent="0.2">
      <c r="A155" s="111" t="s">
        <v>169</v>
      </c>
      <c r="B155" s="108" t="s">
        <v>72</v>
      </c>
      <c r="F155" s="140">
        <f>K152/F127</f>
        <v>0.80177818762797359</v>
      </c>
      <c r="G155" s="108"/>
    </row>
    <row r="156" spans="1:11" ht="18" customHeight="1" x14ac:dyDescent="0.2">
      <c r="G156" s="108"/>
    </row>
  </sheetData>
  <sheetProtection algorithmName="SHA-512" hashValue="qw/tEmEEhcz3uBMrjLjIzIqb6o8UlhWi0uRCCXUxd8zWsldjEuSpqWqBpkCmFzyQV4ExuKk6s2L0be9m6FtOkw==" saltValue="V+bjwqseaXtlVzbhkEZPpA=="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62:D62"/>
    <mergeCell ref="B57:D57"/>
    <mergeCell ref="B52:C52"/>
    <mergeCell ref="B90:C90"/>
    <mergeCell ref="B53:D53"/>
    <mergeCell ref="B55:D55"/>
    <mergeCell ref="B56:D56"/>
    <mergeCell ref="B59:D59"/>
    <mergeCell ref="B103:C103"/>
    <mergeCell ref="B96:D96"/>
    <mergeCell ref="B95:D95"/>
    <mergeCell ref="B94:D94"/>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56"/>
  <sheetViews>
    <sheetView showGridLines="0" zoomScale="80" zoomScaleNormal="80" zoomScaleSheetLayoutView="50" workbookViewId="0">
      <selection activeCell="B13" sqref="B13:H13"/>
    </sheetView>
  </sheetViews>
  <sheetFormatPr defaultRowHeight="18" customHeight="1" x14ac:dyDescent="0.2"/>
  <cols>
    <col min="1" max="1" width="8.42578125" style="430" customWidth="1"/>
    <col min="2" max="2" width="55.42578125" style="259" bestFit="1" customWidth="1"/>
    <col min="3" max="3" width="9.5703125" style="259" customWidth="1"/>
    <col min="4" max="4" width="9.140625" style="259"/>
    <col min="5" max="5" width="12.42578125" style="259" customWidth="1"/>
    <col min="6" max="6" width="18.5703125" style="259" customWidth="1"/>
    <col min="7" max="7" width="23.5703125" style="259" customWidth="1"/>
    <col min="8" max="8" width="17.140625" style="259" customWidth="1"/>
    <col min="9" max="9" width="21.140625" style="259" customWidth="1"/>
    <col min="10" max="10" width="19.85546875" style="259" customWidth="1"/>
    <col min="11" max="11" width="17.5703125" style="259" customWidth="1"/>
    <col min="12" max="16384" width="9.140625" style="259"/>
  </cols>
  <sheetData>
    <row r="1" spans="1:11" ht="18" customHeight="1" x14ac:dyDescent="0.2">
      <c r="C1" s="431"/>
      <c r="D1" s="432"/>
      <c r="E1" s="431"/>
      <c r="F1" s="431"/>
      <c r="G1" s="431"/>
      <c r="H1" s="431"/>
      <c r="I1" s="431"/>
      <c r="J1" s="431"/>
      <c r="K1" s="431"/>
    </row>
    <row r="2" spans="1:11" ht="18" customHeight="1" x14ac:dyDescent="0.25">
      <c r="D2" s="433" t="s">
        <v>612</v>
      </c>
      <c r="E2" s="434"/>
      <c r="F2" s="434"/>
      <c r="G2" s="434"/>
      <c r="H2" s="434"/>
    </row>
    <row r="3" spans="1:11" ht="18" customHeight="1" x14ac:dyDescent="0.2">
      <c r="B3" s="421" t="s">
        <v>0</v>
      </c>
    </row>
    <row r="5" spans="1:11" ht="18" customHeight="1" x14ac:dyDescent="0.2">
      <c r="B5" s="435" t="s">
        <v>40</v>
      </c>
      <c r="C5" s="436" t="s">
        <v>383</v>
      </c>
      <c r="D5" s="437"/>
      <c r="E5" s="437"/>
      <c r="F5" s="437"/>
      <c r="G5" s="438"/>
    </row>
    <row r="6" spans="1:11" ht="18" customHeight="1" x14ac:dyDescent="0.2">
      <c r="B6" s="435" t="s">
        <v>3</v>
      </c>
      <c r="C6" s="439" t="s">
        <v>384</v>
      </c>
      <c r="D6" s="440"/>
      <c r="E6" s="440"/>
      <c r="F6" s="440"/>
      <c r="G6" s="441"/>
    </row>
    <row r="7" spans="1:11" ht="18" customHeight="1" x14ac:dyDescent="0.2">
      <c r="B7" s="435" t="s">
        <v>4</v>
      </c>
      <c r="C7" s="442">
        <v>8899</v>
      </c>
      <c r="D7" s="443"/>
      <c r="E7" s="443"/>
      <c r="F7" s="443"/>
      <c r="G7" s="444"/>
    </row>
    <row r="9" spans="1:11" ht="18" customHeight="1" x14ac:dyDescent="0.2">
      <c r="B9" s="435" t="s">
        <v>1</v>
      </c>
      <c r="C9" s="436" t="s">
        <v>385</v>
      </c>
      <c r="D9" s="437"/>
      <c r="E9" s="437"/>
      <c r="F9" s="437"/>
      <c r="G9" s="438"/>
    </row>
    <row r="10" spans="1:11" ht="18" customHeight="1" x14ac:dyDescent="0.2">
      <c r="B10" s="435" t="s">
        <v>2</v>
      </c>
      <c r="C10" s="445" t="s">
        <v>386</v>
      </c>
      <c r="D10" s="446"/>
      <c r="E10" s="446"/>
      <c r="F10" s="446"/>
      <c r="G10" s="447"/>
    </row>
    <row r="11" spans="1:11" ht="18" customHeight="1" x14ac:dyDescent="0.2">
      <c r="B11" s="435" t="s">
        <v>32</v>
      </c>
      <c r="C11" s="436" t="s">
        <v>387</v>
      </c>
      <c r="D11" s="448"/>
      <c r="E11" s="448"/>
      <c r="F11" s="448"/>
      <c r="G11" s="449"/>
    </row>
    <row r="12" spans="1:11" ht="18" customHeight="1" x14ac:dyDescent="0.2">
      <c r="B12" s="435"/>
      <c r="C12" s="435"/>
      <c r="D12" s="435"/>
      <c r="E12" s="435"/>
      <c r="F12" s="435"/>
      <c r="G12" s="435"/>
    </row>
    <row r="13" spans="1:11" ht="24.6" customHeight="1" x14ac:dyDescent="0.2">
      <c r="B13" s="450"/>
      <c r="C13" s="451"/>
      <c r="D13" s="451"/>
      <c r="E13" s="451"/>
      <c r="F13" s="451"/>
      <c r="G13" s="451"/>
      <c r="H13" s="452"/>
      <c r="I13" s="431"/>
    </row>
    <row r="14" spans="1:11" ht="18" customHeight="1" x14ac:dyDescent="0.2">
      <c r="B14" s="453"/>
    </row>
    <row r="15" spans="1:11" ht="18" customHeight="1" x14ac:dyDescent="0.2">
      <c r="B15" s="453"/>
    </row>
    <row r="16" spans="1:11" ht="45.2" customHeight="1" x14ac:dyDescent="0.2">
      <c r="A16" s="432" t="s">
        <v>181</v>
      </c>
      <c r="B16" s="431"/>
      <c r="C16" s="431"/>
      <c r="D16" s="431"/>
      <c r="E16" s="431"/>
      <c r="F16" s="454" t="s">
        <v>9</v>
      </c>
      <c r="G16" s="454" t="s">
        <v>37</v>
      </c>
      <c r="H16" s="454" t="s">
        <v>29</v>
      </c>
      <c r="I16" s="454" t="s">
        <v>30</v>
      </c>
      <c r="J16" s="454" t="s">
        <v>33</v>
      </c>
      <c r="K16" s="454" t="s">
        <v>34</v>
      </c>
    </row>
    <row r="17" spans="1:11" ht="18" customHeight="1" x14ac:dyDescent="0.2">
      <c r="A17" s="455" t="s">
        <v>184</v>
      </c>
      <c r="B17" s="421" t="s">
        <v>182</v>
      </c>
    </row>
    <row r="18" spans="1:11" ht="18" customHeight="1" x14ac:dyDescent="0.2">
      <c r="A18" s="435" t="s">
        <v>185</v>
      </c>
      <c r="B18" s="419" t="s">
        <v>183</v>
      </c>
      <c r="F18" s="221" t="s">
        <v>73</v>
      </c>
      <c r="G18" s="221" t="s">
        <v>73</v>
      </c>
      <c r="H18" s="118">
        <f>31502812.89+4658646.32</f>
        <v>36161459.210000001</v>
      </c>
      <c r="I18" s="133">
        <v>0</v>
      </c>
      <c r="J18" s="118">
        <f>26626093.35+3937475.43</f>
        <v>30563568.780000001</v>
      </c>
      <c r="K18" s="118">
        <f>(H18+I18)-J18</f>
        <v>5597890.4299999997</v>
      </c>
    </row>
    <row r="19" spans="1:11" ht="45.2" customHeight="1" x14ac:dyDescent="0.2">
      <c r="A19" s="432" t="s">
        <v>8</v>
      </c>
      <c r="B19" s="431"/>
      <c r="C19" s="431"/>
      <c r="D19" s="431"/>
      <c r="E19" s="431"/>
      <c r="F19" s="454" t="s">
        <v>9</v>
      </c>
      <c r="G19" s="454" t="s">
        <v>37</v>
      </c>
      <c r="H19" s="454" t="s">
        <v>29</v>
      </c>
      <c r="I19" s="454" t="s">
        <v>30</v>
      </c>
      <c r="J19" s="454" t="s">
        <v>33</v>
      </c>
      <c r="K19" s="454" t="s">
        <v>34</v>
      </c>
    </row>
    <row r="20" spans="1:11" ht="18" customHeight="1" x14ac:dyDescent="0.2">
      <c r="A20" s="455" t="s">
        <v>74</v>
      </c>
      <c r="B20" s="421" t="s">
        <v>41</v>
      </c>
    </row>
    <row r="21" spans="1:11" ht="18" customHeight="1" x14ac:dyDescent="0.2">
      <c r="A21" s="435" t="s">
        <v>75</v>
      </c>
      <c r="B21" s="419" t="s">
        <v>42</v>
      </c>
      <c r="F21" s="221">
        <v>12900.2</v>
      </c>
      <c r="G21" s="221">
        <v>26598</v>
      </c>
      <c r="H21" s="118">
        <v>639059.26057383954</v>
      </c>
      <c r="I21" s="133">
        <f t="shared" ref="I21:I34" si="0">H21*F$114</f>
        <v>244467.5470019028</v>
      </c>
      <c r="J21" s="118">
        <v>353270</v>
      </c>
      <c r="K21" s="118">
        <f t="shared" ref="K21:K34" si="1">(H21+I21)-J21</f>
        <v>530256.80757574236</v>
      </c>
    </row>
    <row r="22" spans="1:11" ht="18" customHeight="1" x14ac:dyDescent="0.2">
      <c r="A22" s="435" t="s">
        <v>76</v>
      </c>
      <c r="B22" s="259" t="s">
        <v>6</v>
      </c>
      <c r="F22" s="221">
        <v>13520</v>
      </c>
      <c r="G22" s="221">
        <v>4502</v>
      </c>
      <c r="H22" s="118">
        <v>459991.01954953722</v>
      </c>
      <c r="I22" s="133">
        <f t="shared" si="0"/>
        <v>175966.27281670761</v>
      </c>
      <c r="J22" s="118">
        <v>243498</v>
      </c>
      <c r="K22" s="118">
        <f t="shared" si="1"/>
        <v>392459.29236624483</v>
      </c>
    </row>
    <row r="23" spans="1:11" ht="18" customHeight="1" x14ac:dyDescent="0.2">
      <c r="A23" s="435" t="s">
        <v>77</v>
      </c>
      <c r="B23" s="259" t="s">
        <v>43</v>
      </c>
      <c r="F23" s="221">
        <v>0</v>
      </c>
      <c r="G23" s="221">
        <v>0</v>
      </c>
      <c r="H23" s="118">
        <v>0</v>
      </c>
      <c r="I23" s="133">
        <f t="shared" si="0"/>
        <v>0</v>
      </c>
      <c r="J23" s="118"/>
      <c r="K23" s="118">
        <f t="shared" si="1"/>
        <v>0</v>
      </c>
    </row>
    <row r="24" spans="1:11" ht="18" customHeight="1" x14ac:dyDescent="0.2">
      <c r="A24" s="435" t="s">
        <v>78</v>
      </c>
      <c r="B24" s="259" t="s">
        <v>44</v>
      </c>
      <c r="F24" s="221">
        <v>0</v>
      </c>
      <c r="G24" s="221">
        <v>0</v>
      </c>
      <c r="H24" s="118">
        <v>0</v>
      </c>
      <c r="I24" s="133">
        <f t="shared" si="0"/>
        <v>0</v>
      </c>
      <c r="J24" s="118"/>
      <c r="K24" s="118">
        <f t="shared" si="1"/>
        <v>0</v>
      </c>
    </row>
    <row r="25" spans="1:11" ht="18" customHeight="1" x14ac:dyDescent="0.2">
      <c r="A25" s="435" t="s">
        <v>79</v>
      </c>
      <c r="B25" s="259" t="s">
        <v>5</v>
      </c>
      <c r="F25" s="221">
        <v>2080</v>
      </c>
      <c r="G25" s="221">
        <v>1804</v>
      </c>
      <c r="H25" s="118">
        <v>48006.399999999994</v>
      </c>
      <c r="I25" s="133">
        <f t="shared" si="0"/>
        <v>18364.504784507568</v>
      </c>
      <c r="J25" s="118">
        <v>0</v>
      </c>
      <c r="K25" s="118">
        <f t="shared" si="1"/>
        <v>66370.904784507555</v>
      </c>
    </row>
    <row r="26" spans="1:11" ht="18" customHeight="1" x14ac:dyDescent="0.2">
      <c r="A26" s="435" t="s">
        <v>80</v>
      </c>
      <c r="B26" s="259" t="s">
        <v>45</v>
      </c>
      <c r="F26" s="221">
        <v>0</v>
      </c>
      <c r="G26" s="221">
        <v>0</v>
      </c>
      <c r="H26" s="118">
        <v>0</v>
      </c>
      <c r="I26" s="133">
        <f t="shared" si="0"/>
        <v>0</v>
      </c>
      <c r="J26" s="118"/>
      <c r="K26" s="118">
        <f t="shared" si="1"/>
        <v>0</v>
      </c>
    </row>
    <row r="27" spans="1:11" ht="18" customHeight="1" x14ac:dyDescent="0.2">
      <c r="A27" s="435" t="s">
        <v>81</v>
      </c>
      <c r="B27" s="259" t="s">
        <v>536</v>
      </c>
      <c r="F27" s="221">
        <v>0</v>
      </c>
      <c r="G27" s="221">
        <v>0</v>
      </c>
      <c r="H27" s="118">
        <v>0</v>
      </c>
      <c r="I27" s="133">
        <f t="shared" si="0"/>
        <v>0</v>
      </c>
      <c r="J27" s="118"/>
      <c r="K27" s="118">
        <f t="shared" si="1"/>
        <v>0</v>
      </c>
    </row>
    <row r="28" spans="1:11" ht="18" customHeight="1" x14ac:dyDescent="0.2">
      <c r="A28" s="435" t="s">
        <v>82</v>
      </c>
      <c r="B28" s="259" t="s">
        <v>47</v>
      </c>
      <c r="F28" s="221">
        <v>4368</v>
      </c>
      <c r="G28" s="221">
        <v>2323</v>
      </c>
      <c r="H28" s="118">
        <v>192790.96</v>
      </c>
      <c r="I28" s="133">
        <f t="shared" si="0"/>
        <v>73750.802129087111</v>
      </c>
      <c r="J28" s="118">
        <v>270000</v>
      </c>
      <c r="K28" s="118">
        <f t="shared" si="1"/>
        <v>-3458.2378709128825</v>
      </c>
    </row>
    <row r="29" spans="1:11" ht="18" customHeight="1" x14ac:dyDescent="0.2">
      <c r="A29" s="435" t="s">
        <v>83</v>
      </c>
      <c r="B29" s="259" t="s">
        <v>48</v>
      </c>
      <c r="F29" s="221">
        <v>17618</v>
      </c>
      <c r="G29" s="221">
        <v>427</v>
      </c>
      <c r="H29" s="118">
        <v>485141</v>
      </c>
      <c r="I29" s="133">
        <f t="shared" si="0"/>
        <v>185587.21786388455</v>
      </c>
      <c r="J29" s="118">
        <v>194280</v>
      </c>
      <c r="K29" s="118">
        <f t="shared" si="1"/>
        <v>476448.21786388452</v>
      </c>
    </row>
    <row r="30" spans="1:11" ht="18" customHeight="1" x14ac:dyDescent="0.2">
      <c r="A30" s="435" t="s">
        <v>84</v>
      </c>
      <c r="B30" s="456"/>
      <c r="C30" s="457"/>
      <c r="D30" s="458"/>
      <c r="F30" s="221"/>
      <c r="G30" s="221"/>
      <c r="H30" s="118"/>
      <c r="I30" s="133">
        <f t="shared" si="0"/>
        <v>0</v>
      </c>
      <c r="J30" s="118"/>
      <c r="K30" s="118">
        <f t="shared" si="1"/>
        <v>0</v>
      </c>
    </row>
    <row r="31" spans="1:11" ht="18" customHeight="1" x14ac:dyDescent="0.2">
      <c r="A31" s="435" t="s">
        <v>133</v>
      </c>
      <c r="B31" s="456"/>
      <c r="C31" s="457"/>
      <c r="D31" s="458"/>
      <c r="F31" s="221"/>
      <c r="G31" s="221"/>
      <c r="H31" s="118"/>
      <c r="I31" s="133">
        <f t="shared" si="0"/>
        <v>0</v>
      </c>
      <c r="J31" s="118"/>
      <c r="K31" s="118">
        <f t="shared" si="1"/>
        <v>0</v>
      </c>
    </row>
    <row r="32" spans="1:11" ht="18" customHeight="1" x14ac:dyDescent="0.2">
      <c r="A32" s="435" t="s">
        <v>134</v>
      </c>
      <c r="B32" s="459"/>
      <c r="C32" s="460"/>
      <c r="D32" s="461"/>
      <c r="F32" s="221"/>
      <c r="G32" s="255" t="s">
        <v>85</v>
      </c>
      <c r="H32" s="118"/>
      <c r="I32" s="133">
        <f t="shared" si="0"/>
        <v>0</v>
      </c>
      <c r="J32" s="118"/>
      <c r="K32" s="118">
        <f t="shared" si="1"/>
        <v>0</v>
      </c>
    </row>
    <row r="33" spans="1:11" ht="18" customHeight="1" x14ac:dyDescent="0.2">
      <c r="A33" s="435" t="s">
        <v>135</v>
      </c>
      <c r="B33" s="459"/>
      <c r="C33" s="460"/>
      <c r="D33" s="461"/>
      <c r="F33" s="221"/>
      <c r="G33" s="255" t="s">
        <v>85</v>
      </c>
      <c r="H33" s="118"/>
      <c r="I33" s="133">
        <f t="shared" si="0"/>
        <v>0</v>
      </c>
      <c r="J33" s="118"/>
      <c r="K33" s="118">
        <f t="shared" si="1"/>
        <v>0</v>
      </c>
    </row>
    <row r="34" spans="1:11" ht="18" customHeight="1" x14ac:dyDescent="0.2">
      <c r="A34" s="435" t="s">
        <v>136</v>
      </c>
      <c r="B34" s="456"/>
      <c r="C34" s="457"/>
      <c r="D34" s="458"/>
      <c r="F34" s="221"/>
      <c r="G34" s="255" t="s">
        <v>85</v>
      </c>
      <c r="H34" s="118"/>
      <c r="I34" s="133">
        <f t="shared" si="0"/>
        <v>0</v>
      </c>
      <c r="J34" s="118"/>
      <c r="K34" s="118">
        <f t="shared" si="1"/>
        <v>0</v>
      </c>
    </row>
    <row r="35" spans="1:11" ht="18" customHeight="1" x14ac:dyDescent="0.2">
      <c r="K35" s="406"/>
    </row>
    <row r="36" spans="1:11" ht="18" customHeight="1" x14ac:dyDescent="0.2">
      <c r="A36" s="455" t="s">
        <v>137</v>
      </c>
      <c r="B36" s="421" t="s">
        <v>138</v>
      </c>
      <c r="E36" s="421" t="s">
        <v>7</v>
      </c>
      <c r="F36" s="221">
        <f t="shared" ref="F36:K36" si="2">SUM(F21:F34)</f>
        <v>50486.2</v>
      </c>
      <c r="G36" s="221">
        <f t="shared" si="2"/>
        <v>35654</v>
      </c>
      <c r="H36" s="221">
        <f t="shared" si="2"/>
        <v>1824988.6401233766</v>
      </c>
      <c r="I36" s="118">
        <f t="shared" si="2"/>
        <v>698136.34459608968</v>
      </c>
      <c r="J36" s="118">
        <f t="shared" si="2"/>
        <v>1061048</v>
      </c>
      <c r="K36" s="118">
        <f t="shared" si="2"/>
        <v>1462076.9847194664</v>
      </c>
    </row>
    <row r="37" spans="1:11" ht="18" customHeight="1" thickBot="1" x14ac:dyDescent="0.25">
      <c r="B37" s="421"/>
      <c r="F37" s="462"/>
      <c r="G37" s="462"/>
      <c r="H37" s="463"/>
      <c r="I37" s="463"/>
      <c r="J37" s="463"/>
      <c r="K37" s="464"/>
    </row>
    <row r="38" spans="1:11" ht="42.75" customHeight="1" x14ac:dyDescent="0.2">
      <c r="F38" s="454" t="s">
        <v>9</v>
      </c>
      <c r="G38" s="454" t="s">
        <v>37</v>
      </c>
      <c r="H38" s="454" t="s">
        <v>29</v>
      </c>
      <c r="I38" s="454" t="s">
        <v>30</v>
      </c>
      <c r="J38" s="454" t="s">
        <v>33</v>
      </c>
      <c r="K38" s="454" t="s">
        <v>34</v>
      </c>
    </row>
    <row r="39" spans="1:11" ht="18.75" customHeight="1" x14ac:dyDescent="0.2">
      <c r="A39" s="455" t="s">
        <v>86</v>
      </c>
      <c r="B39" s="421" t="s">
        <v>49</v>
      </c>
    </row>
    <row r="40" spans="1:11" ht="18" customHeight="1" x14ac:dyDescent="0.2">
      <c r="A40" s="435" t="s">
        <v>87</v>
      </c>
      <c r="B40" s="259" t="s">
        <v>31</v>
      </c>
      <c r="F40" s="221">
        <v>2368142.4466178962</v>
      </c>
      <c r="G40" s="221"/>
      <c r="H40" s="118">
        <v>116137699.18190652</v>
      </c>
      <c r="I40" s="133">
        <f t="shared" ref="I40:I41" si="3">H40*F$114</f>
        <v>44427645.736564778</v>
      </c>
      <c r="J40" s="118"/>
      <c r="K40" s="118">
        <f t="shared" ref="K40:K47" si="4">(H40+I40)-J40</f>
        <v>160565344.91847131</v>
      </c>
    </row>
    <row r="41" spans="1:11" ht="18" customHeight="1" x14ac:dyDescent="0.2">
      <c r="A41" s="435" t="s">
        <v>88</v>
      </c>
      <c r="B41" s="465" t="s">
        <v>50</v>
      </c>
      <c r="C41" s="466"/>
      <c r="F41" s="221">
        <v>136997</v>
      </c>
      <c r="G41" s="221">
        <v>1487</v>
      </c>
      <c r="H41" s="118">
        <f>F41*32.5</f>
        <v>4452402.5</v>
      </c>
      <c r="I41" s="133">
        <f t="shared" si="3"/>
        <v>1703234.7148255955</v>
      </c>
      <c r="J41" s="118"/>
      <c r="K41" s="118">
        <f t="shared" si="4"/>
        <v>6155637.2148255957</v>
      </c>
    </row>
    <row r="42" spans="1:11" ht="18" customHeight="1" x14ac:dyDescent="0.2">
      <c r="A42" s="435" t="s">
        <v>89</v>
      </c>
      <c r="B42" s="419" t="s">
        <v>11</v>
      </c>
      <c r="F42" s="221"/>
      <c r="G42" s="221"/>
      <c r="H42" s="118"/>
      <c r="I42" s="133">
        <v>0</v>
      </c>
      <c r="J42" s="118"/>
      <c r="K42" s="118">
        <f t="shared" si="4"/>
        <v>0</v>
      </c>
    </row>
    <row r="43" spans="1:11" ht="18" customHeight="1" x14ac:dyDescent="0.2">
      <c r="A43" s="435" t="s">
        <v>90</v>
      </c>
      <c r="B43" s="467" t="s">
        <v>10</v>
      </c>
      <c r="C43" s="468"/>
      <c r="D43" s="468"/>
      <c r="F43" s="221"/>
      <c r="G43" s="221"/>
      <c r="H43" s="118"/>
      <c r="I43" s="133">
        <v>0</v>
      </c>
      <c r="J43" s="118"/>
      <c r="K43" s="118">
        <f t="shared" si="4"/>
        <v>0</v>
      </c>
    </row>
    <row r="44" spans="1:11" ht="18" customHeight="1" x14ac:dyDescent="0.2">
      <c r="A44" s="435" t="s">
        <v>91</v>
      </c>
      <c r="B44" s="456"/>
      <c r="C44" s="457"/>
      <c r="D44" s="458"/>
      <c r="F44" s="407"/>
      <c r="G44" s="407"/>
      <c r="H44" s="407"/>
      <c r="I44" s="408">
        <v>0</v>
      </c>
      <c r="J44" s="407"/>
      <c r="K44" s="134">
        <f t="shared" si="4"/>
        <v>0</v>
      </c>
    </row>
    <row r="45" spans="1:11" ht="18" customHeight="1" x14ac:dyDescent="0.2">
      <c r="A45" s="435" t="s">
        <v>139</v>
      </c>
      <c r="B45" s="456"/>
      <c r="C45" s="457"/>
      <c r="D45" s="458"/>
      <c r="F45" s="221"/>
      <c r="G45" s="221"/>
      <c r="H45" s="118"/>
      <c r="I45" s="133">
        <v>0</v>
      </c>
      <c r="J45" s="118"/>
      <c r="K45" s="118">
        <f t="shared" si="4"/>
        <v>0</v>
      </c>
    </row>
    <row r="46" spans="1:11" ht="18" customHeight="1" x14ac:dyDescent="0.2">
      <c r="A46" s="435" t="s">
        <v>140</v>
      </c>
      <c r="B46" s="456"/>
      <c r="C46" s="457"/>
      <c r="D46" s="458"/>
      <c r="F46" s="221"/>
      <c r="G46" s="221"/>
      <c r="H46" s="118"/>
      <c r="I46" s="133">
        <v>0</v>
      </c>
      <c r="J46" s="118"/>
      <c r="K46" s="118">
        <f t="shared" si="4"/>
        <v>0</v>
      </c>
    </row>
    <row r="47" spans="1:11" ht="18" customHeight="1" x14ac:dyDescent="0.2">
      <c r="A47" s="435" t="s">
        <v>141</v>
      </c>
      <c r="B47" s="456"/>
      <c r="C47" s="457"/>
      <c r="D47" s="458"/>
      <c r="F47" s="221"/>
      <c r="G47" s="221"/>
      <c r="H47" s="118"/>
      <c r="I47" s="133">
        <v>0</v>
      </c>
      <c r="J47" s="118"/>
      <c r="K47" s="118">
        <f t="shared" si="4"/>
        <v>0</v>
      </c>
    </row>
    <row r="49" spans="1:11" ht="18" customHeight="1" x14ac:dyDescent="0.2">
      <c r="A49" s="455" t="s">
        <v>142</v>
      </c>
      <c r="B49" s="421" t="s">
        <v>143</v>
      </c>
      <c r="E49" s="421" t="s">
        <v>7</v>
      </c>
      <c r="F49" s="409">
        <f t="shared" ref="F49:K49" si="5">SUM(F40:F47)</f>
        <v>2505139.4466178962</v>
      </c>
      <c r="G49" s="409">
        <f t="shared" si="5"/>
        <v>1487</v>
      </c>
      <c r="H49" s="118">
        <f t="shared" si="5"/>
        <v>120590101.68190652</v>
      </c>
      <c r="I49" s="118">
        <f t="shared" si="5"/>
        <v>46130880.451390371</v>
      </c>
      <c r="J49" s="118">
        <f t="shared" si="5"/>
        <v>0</v>
      </c>
      <c r="K49" s="118">
        <f t="shared" si="5"/>
        <v>166720982.13329691</v>
      </c>
    </row>
    <row r="50" spans="1:11" ht="18" customHeight="1" thickBot="1" x14ac:dyDescent="0.25">
      <c r="G50" s="469"/>
      <c r="H50" s="469"/>
      <c r="I50" s="469"/>
      <c r="J50" s="469"/>
      <c r="K50" s="469"/>
    </row>
    <row r="51" spans="1:11" ht="42.75" customHeight="1" x14ac:dyDescent="0.2">
      <c r="F51" s="454" t="s">
        <v>9</v>
      </c>
      <c r="G51" s="454" t="s">
        <v>37</v>
      </c>
      <c r="H51" s="454" t="s">
        <v>29</v>
      </c>
      <c r="I51" s="454" t="s">
        <v>30</v>
      </c>
      <c r="J51" s="454" t="s">
        <v>33</v>
      </c>
      <c r="K51" s="454" t="s">
        <v>34</v>
      </c>
    </row>
    <row r="52" spans="1:11" ht="18" customHeight="1" x14ac:dyDescent="0.2">
      <c r="A52" s="455" t="s">
        <v>92</v>
      </c>
      <c r="B52" s="470" t="s">
        <v>38</v>
      </c>
      <c r="C52" s="471"/>
    </row>
    <row r="53" spans="1:11" ht="18" customHeight="1" x14ac:dyDescent="0.2">
      <c r="A53" s="435" t="s">
        <v>51</v>
      </c>
      <c r="B53" s="472" t="s">
        <v>388</v>
      </c>
      <c r="C53" s="473"/>
      <c r="D53" s="474"/>
      <c r="F53" s="221">
        <v>23321.170000800863</v>
      </c>
      <c r="G53" s="221">
        <v>12506</v>
      </c>
      <c r="H53" s="118">
        <v>2938556.34</v>
      </c>
      <c r="I53" s="133">
        <f t="shared" ref="I53:I55" si="6">H53*F$114</f>
        <v>1124123.6994541364</v>
      </c>
      <c r="J53" s="118">
        <v>1273657.02</v>
      </c>
      <c r="K53" s="118">
        <f t="shared" ref="K53:K62" si="7">(H53+I53)-J53</f>
        <v>2789023.019454136</v>
      </c>
    </row>
    <row r="54" spans="1:11" ht="18" customHeight="1" x14ac:dyDescent="0.2">
      <c r="A54" s="435" t="s">
        <v>93</v>
      </c>
      <c r="B54" s="475" t="s">
        <v>389</v>
      </c>
      <c r="C54" s="476"/>
      <c r="D54" s="477"/>
      <c r="F54" s="221">
        <v>197205.14999688789</v>
      </c>
      <c r="G54" s="221">
        <v>53709</v>
      </c>
      <c r="H54" s="118">
        <v>14798911</v>
      </c>
      <c r="I54" s="133">
        <f t="shared" si="6"/>
        <v>5661217.5015206663</v>
      </c>
      <c r="J54" s="118">
        <v>9841881</v>
      </c>
      <c r="K54" s="118">
        <f t="shared" si="7"/>
        <v>10618247.501520667</v>
      </c>
    </row>
    <row r="55" spans="1:11" ht="18" customHeight="1" x14ac:dyDescent="0.2">
      <c r="A55" s="435" t="s">
        <v>94</v>
      </c>
      <c r="B55" s="418" t="s">
        <v>755</v>
      </c>
      <c r="C55" s="417"/>
      <c r="D55" s="412"/>
      <c r="F55" s="221">
        <v>19518.289999008179</v>
      </c>
      <c r="G55" s="221">
        <v>9987</v>
      </c>
      <c r="H55" s="118">
        <v>1704000</v>
      </c>
      <c r="I55" s="133">
        <f t="shared" si="6"/>
        <v>651853.00611586997</v>
      </c>
      <c r="J55" s="118">
        <v>835000</v>
      </c>
      <c r="K55" s="118">
        <f t="shared" si="7"/>
        <v>1520853.0061158701</v>
      </c>
    </row>
    <row r="56" spans="1:11" ht="18" customHeight="1" x14ac:dyDescent="0.2">
      <c r="A56" s="435" t="s">
        <v>95</v>
      </c>
      <c r="B56" s="418"/>
      <c r="C56" s="417"/>
      <c r="D56" s="412"/>
      <c r="F56" s="221"/>
      <c r="G56" s="221"/>
      <c r="H56" s="118"/>
      <c r="I56" s="133">
        <v>0</v>
      </c>
      <c r="J56" s="118"/>
      <c r="K56" s="118">
        <f t="shared" si="7"/>
        <v>0</v>
      </c>
    </row>
    <row r="57" spans="1:11" ht="18" customHeight="1" x14ac:dyDescent="0.2">
      <c r="A57" s="435" t="s">
        <v>96</v>
      </c>
      <c r="B57" s="418"/>
      <c r="C57" s="417"/>
      <c r="D57" s="412"/>
      <c r="F57" s="221"/>
      <c r="G57" s="221"/>
      <c r="H57" s="118"/>
      <c r="I57" s="133">
        <v>0</v>
      </c>
      <c r="J57" s="118"/>
      <c r="K57" s="118">
        <f t="shared" si="7"/>
        <v>0</v>
      </c>
    </row>
    <row r="58" spans="1:11" ht="18" customHeight="1" x14ac:dyDescent="0.2">
      <c r="A58" s="435" t="s">
        <v>97</v>
      </c>
      <c r="B58" s="420"/>
      <c r="C58" s="414"/>
      <c r="D58" s="415"/>
      <c r="F58" s="221"/>
      <c r="G58" s="221"/>
      <c r="H58" s="118"/>
      <c r="I58" s="133">
        <v>0</v>
      </c>
      <c r="J58" s="118"/>
      <c r="K58" s="118">
        <f t="shared" si="7"/>
        <v>0</v>
      </c>
    </row>
    <row r="59" spans="1:11" ht="18" customHeight="1" x14ac:dyDescent="0.2">
      <c r="A59" s="435" t="s">
        <v>98</v>
      </c>
      <c r="B59" s="418"/>
      <c r="C59" s="417"/>
      <c r="D59" s="412"/>
      <c r="F59" s="221"/>
      <c r="G59" s="221"/>
      <c r="H59" s="118"/>
      <c r="I59" s="133">
        <v>0</v>
      </c>
      <c r="J59" s="118"/>
      <c r="K59" s="118">
        <f t="shared" si="7"/>
        <v>0</v>
      </c>
    </row>
    <row r="60" spans="1:11" ht="18" customHeight="1" x14ac:dyDescent="0.2">
      <c r="A60" s="435" t="s">
        <v>99</v>
      </c>
      <c r="B60" s="420"/>
      <c r="C60" s="414"/>
      <c r="D60" s="415"/>
      <c r="F60" s="221"/>
      <c r="G60" s="221"/>
      <c r="H60" s="118"/>
      <c r="I60" s="133">
        <v>0</v>
      </c>
      <c r="J60" s="118"/>
      <c r="K60" s="118">
        <f t="shared" si="7"/>
        <v>0</v>
      </c>
    </row>
    <row r="61" spans="1:11" ht="18" customHeight="1" x14ac:dyDescent="0.2">
      <c r="A61" s="435" t="s">
        <v>100</v>
      </c>
      <c r="B61" s="420"/>
      <c r="C61" s="414"/>
      <c r="D61" s="415"/>
      <c r="F61" s="221"/>
      <c r="G61" s="221"/>
      <c r="H61" s="118"/>
      <c r="I61" s="133">
        <v>0</v>
      </c>
      <c r="J61" s="118"/>
      <c r="K61" s="118">
        <f t="shared" si="7"/>
        <v>0</v>
      </c>
    </row>
    <row r="62" spans="1:11" ht="18" customHeight="1" x14ac:dyDescent="0.2">
      <c r="A62" s="435" t="s">
        <v>101</v>
      </c>
      <c r="B62" s="418"/>
      <c r="C62" s="417"/>
      <c r="D62" s="412"/>
      <c r="F62" s="221"/>
      <c r="G62" s="221"/>
      <c r="H62" s="118"/>
      <c r="I62" s="133">
        <v>0</v>
      </c>
      <c r="J62" s="118"/>
      <c r="K62" s="118">
        <f t="shared" si="7"/>
        <v>0</v>
      </c>
    </row>
    <row r="63" spans="1:11" ht="18" customHeight="1" x14ac:dyDescent="0.2">
      <c r="A63" s="435"/>
      <c r="I63" s="129"/>
    </row>
    <row r="64" spans="1:11" ht="18" customHeight="1" x14ac:dyDescent="0.2">
      <c r="A64" s="435" t="s">
        <v>144</v>
      </c>
      <c r="B64" s="421" t="s">
        <v>145</v>
      </c>
      <c r="E64" s="421" t="s">
        <v>7</v>
      </c>
      <c r="F64" s="221">
        <f t="shared" ref="F64:K64" si="8">SUM(F53:F62)</f>
        <v>240044.60999669693</v>
      </c>
      <c r="G64" s="221">
        <f t="shared" si="8"/>
        <v>76202</v>
      </c>
      <c r="H64" s="118">
        <f t="shared" si="8"/>
        <v>19441467.34</v>
      </c>
      <c r="I64" s="118">
        <f t="shared" si="8"/>
        <v>7437194.2070906721</v>
      </c>
      <c r="J64" s="118">
        <f t="shared" si="8"/>
        <v>11950538.02</v>
      </c>
      <c r="K64" s="118">
        <f t="shared" si="8"/>
        <v>14928123.527090674</v>
      </c>
    </row>
    <row r="65" spans="1:11" ht="18" customHeight="1" x14ac:dyDescent="0.2">
      <c r="F65" s="478"/>
      <c r="G65" s="478"/>
      <c r="H65" s="478"/>
      <c r="I65" s="478"/>
      <c r="J65" s="478"/>
      <c r="K65" s="478"/>
    </row>
    <row r="66" spans="1:11" ht="42.75" customHeight="1" x14ac:dyDescent="0.2">
      <c r="F66" s="479" t="s">
        <v>9</v>
      </c>
      <c r="G66" s="479" t="s">
        <v>37</v>
      </c>
      <c r="H66" s="479" t="s">
        <v>29</v>
      </c>
      <c r="I66" s="479" t="s">
        <v>30</v>
      </c>
      <c r="J66" s="479" t="s">
        <v>33</v>
      </c>
      <c r="K66" s="479" t="s">
        <v>34</v>
      </c>
    </row>
    <row r="67" spans="1:11" ht="18" customHeight="1" x14ac:dyDescent="0.2">
      <c r="A67" s="455" t="s">
        <v>102</v>
      </c>
      <c r="B67" s="421" t="s">
        <v>12</v>
      </c>
      <c r="F67" s="480"/>
      <c r="G67" s="480"/>
      <c r="H67" s="480"/>
      <c r="I67" s="137"/>
      <c r="J67" s="480"/>
      <c r="K67" s="137"/>
    </row>
    <row r="68" spans="1:11" ht="18" customHeight="1" x14ac:dyDescent="0.2">
      <c r="A68" s="435" t="s">
        <v>103</v>
      </c>
      <c r="B68" s="259" t="s">
        <v>52</v>
      </c>
      <c r="F68" s="122"/>
      <c r="G68" s="122"/>
      <c r="H68" s="122"/>
      <c r="I68" s="133">
        <v>0</v>
      </c>
      <c r="J68" s="122"/>
      <c r="K68" s="118">
        <f>(H68+I68)-J68</f>
        <v>0</v>
      </c>
    </row>
    <row r="69" spans="1:11" ht="18" customHeight="1" x14ac:dyDescent="0.2">
      <c r="A69" s="435" t="s">
        <v>104</v>
      </c>
      <c r="B69" s="419" t="s">
        <v>53</v>
      </c>
      <c r="F69" s="122"/>
      <c r="G69" s="122"/>
      <c r="H69" s="122"/>
      <c r="I69" s="133">
        <v>0</v>
      </c>
      <c r="J69" s="122"/>
      <c r="K69" s="118">
        <f>(H69+I69)-J69</f>
        <v>0</v>
      </c>
    </row>
    <row r="70" spans="1:11" ht="18" customHeight="1" x14ac:dyDescent="0.2">
      <c r="A70" s="435" t="s">
        <v>178</v>
      </c>
      <c r="B70" s="420"/>
      <c r="C70" s="414"/>
      <c r="D70" s="415"/>
      <c r="E70" s="421"/>
      <c r="F70" s="422"/>
      <c r="G70" s="422"/>
      <c r="H70" s="423"/>
      <c r="I70" s="133">
        <v>0</v>
      </c>
      <c r="J70" s="423"/>
      <c r="K70" s="118">
        <f>(H70+I70)-J70</f>
        <v>0</v>
      </c>
    </row>
    <row r="71" spans="1:11" ht="18" customHeight="1" x14ac:dyDescent="0.2">
      <c r="A71" s="435" t="s">
        <v>179</v>
      </c>
      <c r="B71" s="420"/>
      <c r="C71" s="414"/>
      <c r="D71" s="415"/>
      <c r="E71" s="421"/>
      <c r="F71" s="422"/>
      <c r="G71" s="422"/>
      <c r="H71" s="423"/>
      <c r="I71" s="133">
        <v>0</v>
      </c>
      <c r="J71" s="423"/>
      <c r="K71" s="118">
        <f>(H71+I71)-J71</f>
        <v>0</v>
      </c>
    </row>
    <row r="72" spans="1:11" ht="18" customHeight="1" x14ac:dyDescent="0.2">
      <c r="A72" s="435" t="s">
        <v>180</v>
      </c>
      <c r="B72" s="424"/>
      <c r="C72" s="425"/>
      <c r="D72" s="426"/>
      <c r="E72" s="421"/>
      <c r="F72" s="221"/>
      <c r="G72" s="221"/>
      <c r="H72" s="118"/>
      <c r="I72" s="133">
        <v>0</v>
      </c>
      <c r="J72" s="118"/>
      <c r="K72" s="118">
        <f>(H72+I72)-J72</f>
        <v>0</v>
      </c>
    </row>
    <row r="73" spans="1:11" ht="18" customHeight="1" x14ac:dyDescent="0.2">
      <c r="A73" s="435"/>
      <c r="B73" s="419"/>
      <c r="E73" s="421"/>
      <c r="F73" s="427"/>
      <c r="G73" s="427"/>
      <c r="H73" s="137"/>
      <c r="I73" s="137"/>
      <c r="J73" s="137"/>
      <c r="K73" s="137"/>
    </row>
    <row r="74" spans="1:11" ht="18" customHeight="1" x14ac:dyDescent="0.2">
      <c r="A74" s="455" t="s">
        <v>146</v>
      </c>
      <c r="B74" s="421" t="s">
        <v>147</v>
      </c>
      <c r="E74" s="421" t="s">
        <v>7</v>
      </c>
      <c r="F74" s="122">
        <f t="shared" ref="F74:K74" si="9">SUM(F68:F72)</f>
        <v>0</v>
      </c>
      <c r="G74" s="122">
        <f t="shared" si="9"/>
        <v>0</v>
      </c>
      <c r="H74" s="122">
        <f t="shared" si="9"/>
        <v>0</v>
      </c>
      <c r="I74" s="133">
        <f t="shared" si="9"/>
        <v>0</v>
      </c>
      <c r="J74" s="122">
        <f t="shared" si="9"/>
        <v>0</v>
      </c>
      <c r="K74" s="118">
        <f t="shared" si="9"/>
        <v>0</v>
      </c>
    </row>
    <row r="75" spans="1:11" ht="42.75" customHeight="1" x14ac:dyDescent="0.2">
      <c r="F75" s="454" t="s">
        <v>9</v>
      </c>
      <c r="G75" s="454" t="s">
        <v>37</v>
      </c>
      <c r="H75" s="454" t="s">
        <v>29</v>
      </c>
      <c r="I75" s="454" t="s">
        <v>30</v>
      </c>
      <c r="J75" s="454" t="s">
        <v>33</v>
      </c>
      <c r="K75" s="454" t="s">
        <v>34</v>
      </c>
    </row>
    <row r="76" spans="1:11" ht="18" customHeight="1" x14ac:dyDescent="0.2">
      <c r="A76" s="455" t="s">
        <v>105</v>
      </c>
      <c r="B76" s="421" t="s">
        <v>106</v>
      </c>
    </row>
    <row r="77" spans="1:11" ht="18" customHeight="1" x14ac:dyDescent="0.2">
      <c r="A77" s="435" t="s">
        <v>107</v>
      </c>
      <c r="B77" s="419" t="s">
        <v>54</v>
      </c>
      <c r="F77" s="221">
        <v>0</v>
      </c>
      <c r="G77" s="221">
        <v>0</v>
      </c>
      <c r="H77" s="118">
        <v>373715.6</v>
      </c>
      <c r="I77" s="133">
        <v>0</v>
      </c>
      <c r="J77" s="118"/>
      <c r="K77" s="118">
        <f>(H77+I77)-J77</f>
        <v>373715.6</v>
      </c>
    </row>
    <row r="78" spans="1:11" ht="18" customHeight="1" x14ac:dyDescent="0.2">
      <c r="A78" s="435" t="s">
        <v>108</v>
      </c>
      <c r="B78" s="419" t="s">
        <v>55</v>
      </c>
      <c r="F78" s="221">
        <v>0</v>
      </c>
      <c r="G78" s="221">
        <v>0</v>
      </c>
      <c r="H78" s="118">
        <v>0</v>
      </c>
      <c r="I78" s="133">
        <v>0</v>
      </c>
      <c r="J78" s="118"/>
      <c r="K78" s="118">
        <f>(H78+I78)-J78</f>
        <v>0</v>
      </c>
    </row>
    <row r="79" spans="1:11" ht="18" customHeight="1" x14ac:dyDescent="0.2">
      <c r="A79" s="435" t="s">
        <v>109</v>
      </c>
      <c r="B79" s="419" t="s">
        <v>13</v>
      </c>
      <c r="F79" s="221">
        <v>450</v>
      </c>
      <c r="G79" s="221">
        <v>1270</v>
      </c>
      <c r="H79" s="118">
        <v>106200</v>
      </c>
      <c r="I79" s="133">
        <v>0</v>
      </c>
      <c r="J79" s="118"/>
      <c r="K79" s="118">
        <f>(H79+I79)-J79</f>
        <v>106200</v>
      </c>
    </row>
    <row r="80" spans="1:11" ht="18" customHeight="1" x14ac:dyDescent="0.2">
      <c r="A80" s="435" t="s">
        <v>110</v>
      </c>
      <c r="B80" s="419" t="s">
        <v>56</v>
      </c>
      <c r="F80" s="221">
        <v>0</v>
      </c>
      <c r="G80" s="221">
        <v>0</v>
      </c>
      <c r="H80" s="118">
        <v>0</v>
      </c>
      <c r="I80" s="133">
        <v>0</v>
      </c>
      <c r="J80" s="118"/>
      <c r="K80" s="118">
        <f>(H80+I80)-J80</f>
        <v>0</v>
      </c>
    </row>
    <row r="81" spans="1:11" ht="18" customHeight="1" x14ac:dyDescent="0.2">
      <c r="A81" s="435"/>
      <c r="K81" s="428"/>
    </row>
    <row r="82" spans="1:11" ht="18" customHeight="1" x14ac:dyDescent="0.2">
      <c r="A82" s="435" t="s">
        <v>148</v>
      </c>
      <c r="B82" s="421" t="s">
        <v>149</v>
      </c>
      <c r="E82" s="421" t="s">
        <v>7</v>
      </c>
      <c r="F82" s="122">
        <f t="shared" ref="F82:K82" si="10">SUM(F77:F80)</f>
        <v>450</v>
      </c>
      <c r="G82" s="122">
        <f t="shared" si="10"/>
        <v>1270</v>
      </c>
      <c r="H82" s="118">
        <f t="shared" si="10"/>
        <v>479915.6</v>
      </c>
      <c r="I82" s="118">
        <f t="shared" si="10"/>
        <v>0</v>
      </c>
      <c r="J82" s="118">
        <f t="shared" si="10"/>
        <v>0</v>
      </c>
      <c r="K82" s="118">
        <f t="shared" si="10"/>
        <v>479915.6</v>
      </c>
    </row>
    <row r="83" spans="1:11" ht="18" customHeight="1" thickBot="1" x14ac:dyDescent="0.25">
      <c r="A83" s="435"/>
      <c r="F83" s="469"/>
      <c r="G83" s="469"/>
      <c r="H83" s="469"/>
      <c r="I83" s="469"/>
      <c r="J83" s="469"/>
      <c r="K83" s="469"/>
    </row>
    <row r="84" spans="1:11" ht="42.75" customHeight="1" x14ac:dyDescent="0.2">
      <c r="F84" s="454" t="s">
        <v>9</v>
      </c>
      <c r="G84" s="454" t="s">
        <v>37</v>
      </c>
      <c r="H84" s="454" t="s">
        <v>29</v>
      </c>
      <c r="I84" s="454" t="s">
        <v>30</v>
      </c>
      <c r="J84" s="454" t="s">
        <v>33</v>
      </c>
      <c r="K84" s="454" t="s">
        <v>34</v>
      </c>
    </row>
    <row r="85" spans="1:11" ht="18" customHeight="1" x14ac:dyDescent="0.2">
      <c r="A85" s="455" t="s">
        <v>111</v>
      </c>
      <c r="B85" s="421" t="s">
        <v>57</v>
      </c>
    </row>
    <row r="86" spans="1:11" ht="18" customHeight="1" x14ac:dyDescent="0.2">
      <c r="A86" s="435" t="s">
        <v>112</v>
      </c>
      <c r="B86" s="419" t="s">
        <v>113</v>
      </c>
      <c r="F86" s="221">
        <v>416</v>
      </c>
      <c r="G86" s="221">
        <v>6400</v>
      </c>
      <c r="H86" s="118">
        <v>22235.200000000001</v>
      </c>
      <c r="I86" s="133">
        <f t="shared" ref="I86:I96" si="11">H86*F$114</f>
        <v>8505.9166441241741</v>
      </c>
      <c r="J86" s="118"/>
      <c r="K86" s="118">
        <f t="shared" ref="K86:K96" si="12">(H86+I86)-J86</f>
        <v>30741.116644124173</v>
      </c>
    </row>
    <row r="87" spans="1:11" ht="18" customHeight="1" x14ac:dyDescent="0.2">
      <c r="A87" s="435" t="s">
        <v>114</v>
      </c>
      <c r="B87" s="419" t="s">
        <v>14</v>
      </c>
      <c r="F87" s="221">
        <v>0</v>
      </c>
      <c r="G87" s="221">
        <v>0</v>
      </c>
      <c r="H87" s="118">
        <v>0</v>
      </c>
      <c r="I87" s="133">
        <f t="shared" si="11"/>
        <v>0</v>
      </c>
      <c r="J87" s="118"/>
      <c r="K87" s="118">
        <f t="shared" si="12"/>
        <v>0</v>
      </c>
    </row>
    <row r="88" spans="1:11" ht="18" customHeight="1" x14ac:dyDescent="0.2">
      <c r="A88" s="435" t="s">
        <v>115</v>
      </c>
      <c r="B88" s="419" t="s">
        <v>116</v>
      </c>
      <c r="F88" s="221">
        <v>0</v>
      </c>
      <c r="G88" s="221">
        <v>0</v>
      </c>
      <c r="H88" s="118">
        <v>54252</v>
      </c>
      <c r="I88" s="133">
        <f t="shared" si="11"/>
        <v>20753.714370773578</v>
      </c>
      <c r="J88" s="118"/>
      <c r="K88" s="118">
        <f t="shared" si="12"/>
        <v>75005.714370773581</v>
      </c>
    </row>
    <row r="89" spans="1:11" ht="18" customHeight="1" x14ac:dyDescent="0.2">
      <c r="A89" s="435" t="s">
        <v>117</v>
      </c>
      <c r="B89" s="419" t="s">
        <v>58</v>
      </c>
      <c r="F89" s="221">
        <v>1456</v>
      </c>
      <c r="G89" s="221">
        <v>0</v>
      </c>
      <c r="H89" s="118">
        <v>672900</v>
      </c>
      <c r="I89" s="133">
        <f t="shared" si="11"/>
        <v>257413.07970385501</v>
      </c>
      <c r="J89" s="118"/>
      <c r="K89" s="118">
        <f t="shared" si="12"/>
        <v>930313.07970385498</v>
      </c>
    </row>
    <row r="90" spans="1:11" ht="18" customHeight="1" x14ac:dyDescent="0.2">
      <c r="A90" s="435" t="s">
        <v>118</v>
      </c>
      <c r="B90" s="465" t="s">
        <v>59</v>
      </c>
      <c r="C90" s="466"/>
      <c r="F90" s="221">
        <v>0</v>
      </c>
      <c r="G90" s="221">
        <v>0</v>
      </c>
      <c r="H90" s="118">
        <v>0</v>
      </c>
      <c r="I90" s="133">
        <f t="shared" si="11"/>
        <v>0</v>
      </c>
      <c r="J90" s="118"/>
      <c r="K90" s="118">
        <f t="shared" si="12"/>
        <v>0</v>
      </c>
    </row>
    <row r="91" spans="1:11" ht="18" customHeight="1" x14ac:dyDescent="0.2">
      <c r="A91" s="435" t="s">
        <v>119</v>
      </c>
      <c r="B91" s="419" t="s">
        <v>60</v>
      </c>
      <c r="F91" s="221">
        <v>25</v>
      </c>
      <c r="G91" s="221">
        <v>0</v>
      </c>
      <c r="H91" s="118">
        <v>4199.75</v>
      </c>
      <c r="I91" s="133">
        <f t="shared" si="11"/>
        <v>1606.5843089408011</v>
      </c>
      <c r="J91" s="118"/>
      <c r="K91" s="118">
        <f t="shared" si="12"/>
        <v>5806.3343089408008</v>
      </c>
    </row>
    <row r="92" spans="1:11" ht="18" customHeight="1" x14ac:dyDescent="0.2">
      <c r="A92" s="435" t="s">
        <v>120</v>
      </c>
      <c r="B92" s="419" t="s">
        <v>121</v>
      </c>
      <c r="F92" s="221">
        <v>0</v>
      </c>
      <c r="G92" s="221">
        <v>0</v>
      </c>
      <c r="H92" s="118">
        <v>0</v>
      </c>
      <c r="I92" s="133">
        <f t="shared" si="11"/>
        <v>0</v>
      </c>
      <c r="J92" s="429"/>
      <c r="K92" s="118">
        <f t="shared" si="12"/>
        <v>0</v>
      </c>
    </row>
    <row r="93" spans="1:11" ht="18" customHeight="1" x14ac:dyDescent="0.2">
      <c r="A93" s="435" t="s">
        <v>122</v>
      </c>
      <c r="B93" s="419" t="s">
        <v>123</v>
      </c>
      <c r="F93" s="221">
        <v>5304</v>
      </c>
      <c r="G93" s="221">
        <v>6597</v>
      </c>
      <c r="H93" s="118">
        <v>152559.26671218872</v>
      </c>
      <c r="I93" s="133">
        <f t="shared" si="11"/>
        <v>58360.45576125176</v>
      </c>
      <c r="J93" s="118"/>
      <c r="K93" s="118">
        <f t="shared" si="12"/>
        <v>210919.72247344049</v>
      </c>
    </row>
    <row r="94" spans="1:11" ht="18" customHeight="1" x14ac:dyDescent="0.2">
      <c r="A94" s="435" t="s">
        <v>124</v>
      </c>
      <c r="B94" s="418"/>
      <c r="C94" s="417"/>
      <c r="D94" s="412"/>
      <c r="F94" s="221">
        <v>0</v>
      </c>
      <c r="G94" s="221">
        <v>0</v>
      </c>
      <c r="H94" s="118">
        <v>0</v>
      </c>
      <c r="I94" s="133">
        <f t="shared" si="11"/>
        <v>0</v>
      </c>
      <c r="J94" s="118"/>
      <c r="K94" s="118">
        <f t="shared" si="12"/>
        <v>0</v>
      </c>
    </row>
    <row r="95" spans="1:11" ht="18" customHeight="1" x14ac:dyDescent="0.2">
      <c r="A95" s="435" t="s">
        <v>125</v>
      </c>
      <c r="B95" s="418"/>
      <c r="C95" s="417"/>
      <c r="D95" s="412"/>
      <c r="F95" s="221">
        <v>0</v>
      </c>
      <c r="G95" s="221">
        <v>0</v>
      </c>
      <c r="H95" s="118">
        <v>0</v>
      </c>
      <c r="I95" s="133">
        <f t="shared" si="11"/>
        <v>0</v>
      </c>
      <c r="J95" s="118"/>
      <c r="K95" s="118">
        <f t="shared" si="12"/>
        <v>0</v>
      </c>
    </row>
    <row r="96" spans="1:11" ht="18" customHeight="1" x14ac:dyDescent="0.2">
      <c r="A96" s="435" t="s">
        <v>126</v>
      </c>
      <c r="B96" s="418"/>
      <c r="C96" s="417"/>
      <c r="D96" s="412"/>
      <c r="F96" s="221"/>
      <c r="G96" s="221"/>
      <c r="H96" s="118"/>
      <c r="I96" s="133">
        <f t="shared" si="11"/>
        <v>0</v>
      </c>
      <c r="J96" s="118"/>
      <c r="K96" s="118">
        <f t="shared" si="12"/>
        <v>0</v>
      </c>
    </row>
    <row r="97" spans="1:11" ht="18" customHeight="1" x14ac:dyDescent="0.2">
      <c r="A97" s="435"/>
      <c r="B97" s="419"/>
    </row>
    <row r="98" spans="1:11" ht="18" customHeight="1" x14ac:dyDescent="0.2">
      <c r="A98" s="455" t="s">
        <v>150</v>
      </c>
      <c r="B98" s="421" t="s">
        <v>151</v>
      </c>
      <c r="E98" s="421" t="s">
        <v>7</v>
      </c>
      <c r="F98" s="221">
        <f t="shared" ref="F98:K98" si="13">SUM(F86:F96)</f>
        <v>7201</v>
      </c>
      <c r="G98" s="221">
        <f t="shared" si="13"/>
        <v>12997</v>
      </c>
      <c r="H98" s="221">
        <f t="shared" si="13"/>
        <v>906146.21671218867</v>
      </c>
      <c r="I98" s="221">
        <f t="shared" si="13"/>
        <v>346639.7507889453</v>
      </c>
      <c r="J98" s="221">
        <f t="shared" si="13"/>
        <v>0</v>
      </c>
      <c r="K98" s="221">
        <f t="shared" si="13"/>
        <v>1252785.9675011341</v>
      </c>
    </row>
    <row r="99" spans="1:11" ht="18" customHeight="1" thickBot="1" x14ac:dyDescent="0.25">
      <c r="B99" s="421"/>
      <c r="F99" s="469"/>
      <c r="G99" s="469"/>
      <c r="H99" s="469"/>
      <c r="I99" s="469"/>
      <c r="J99" s="469"/>
      <c r="K99" s="469"/>
    </row>
    <row r="100" spans="1:11" ht="42.75" customHeight="1" x14ac:dyDescent="0.2">
      <c r="F100" s="454" t="s">
        <v>9</v>
      </c>
      <c r="G100" s="454" t="s">
        <v>37</v>
      </c>
      <c r="H100" s="454" t="s">
        <v>29</v>
      </c>
      <c r="I100" s="454" t="s">
        <v>30</v>
      </c>
      <c r="J100" s="454" t="s">
        <v>33</v>
      </c>
      <c r="K100" s="454" t="s">
        <v>34</v>
      </c>
    </row>
    <row r="101" spans="1:11" ht="18" customHeight="1" x14ac:dyDescent="0.2">
      <c r="A101" s="455" t="s">
        <v>130</v>
      </c>
      <c r="B101" s="421" t="s">
        <v>63</v>
      </c>
    </row>
    <row r="102" spans="1:11" ht="18" customHeight="1" x14ac:dyDescent="0.2">
      <c r="A102" s="435" t="s">
        <v>131</v>
      </c>
      <c r="B102" s="419" t="s">
        <v>152</v>
      </c>
      <c r="F102" s="221">
        <v>3918.8</v>
      </c>
      <c r="G102" s="221">
        <v>0</v>
      </c>
      <c r="H102" s="118">
        <v>303562.82800000004</v>
      </c>
      <c r="I102" s="133">
        <f>H102*F$114</f>
        <v>116125.78754509086</v>
      </c>
      <c r="J102" s="118"/>
      <c r="K102" s="118">
        <f>(H102+I102)-J102</f>
        <v>419688.61554509087</v>
      </c>
    </row>
    <row r="103" spans="1:11" ht="18" customHeight="1" x14ac:dyDescent="0.2">
      <c r="A103" s="435" t="s">
        <v>132</v>
      </c>
      <c r="B103" s="465" t="s">
        <v>62</v>
      </c>
      <c r="C103" s="465"/>
      <c r="F103" s="221"/>
      <c r="G103" s="221"/>
      <c r="H103" s="118"/>
      <c r="I103" s="133">
        <f>H103*F$114</f>
        <v>0</v>
      </c>
      <c r="J103" s="118"/>
      <c r="K103" s="118">
        <f>(H103+I103)-J103</f>
        <v>0</v>
      </c>
    </row>
    <row r="104" spans="1:11" ht="18" customHeight="1" x14ac:dyDescent="0.2">
      <c r="A104" s="435" t="s">
        <v>128</v>
      </c>
      <c r="B104" s="418"/>
      <c r="C104" s="417"/>
      <c r="D104" s="412"/>
      <c r="F104" s="221"/>
      <c r="G104" s="221"/>
      <c r="H104" s="118"/>
      <c r="I104" s="133">
        <f>H104*F$114</f>
        <v>0</v>
      </c>
      <c r="J104" s="118"/>
      <c r="K104" s="118">
        <f>(H104+I104)-J104</f>
        <v>0</v>
      </c>
    </row>
    <row r="105" spans="1:11" ht="18" customHeight="1" x14ac:dyDescent="0.2">
      <c r="A105" s="435" t="s">
        <v>127</v>
      </c>
      <c r="B105" s="418"/>
      <c r="C105" s="417"/>
      <c r="D105" s="412"/>
      <c r="F105" s="221"/>
      <c r="G105" s="221"/>
      <c r="H105" s="118"/>
      <c r="I105" s="133">
        <f>H105*F$114</f>
        <v>0</v>
      </c>
      <c r="J105" s="118"/>
      <c r="K105" s="118">
        <f>(H105+I105)-J105</f>
        <v>0</v>
      </c>
    </row>
    <row r="106" spans="1:11" ht="18" customHeight="1" x14ac:dyDescent="0.2">
      <c r="A106" s="435" t="s">
        <v>129</v>
      </c>
      <c r="B106" s="418"/>
      <c r="C106" s="417"/>
      <c r="D106" s="412"/>
      <c r="F106" s="221"/>
      <c r="G106" s="221"/>
      <c r="H106" s="118"/>
      <c r="I106" s="133">
        <f>H106*F$114</f>
        <v>0</v>
      </c>
      <c r="J106" s="118"/>
      <c r="K106" s="118">
        <f>(H106+I106)-J106</f>
        <v>0</v>
      </c>
    </row>
    <row r="107" spans="1:11" ht="18" customHeight="1" x14ac:dyDescent="0.2">
      <c r="B107" s="421"/>
    </row>
    <row r="108" spans="1:11" s="468" customFormat="1" ht="18" customHeight="1" x14ac:dyDescent="0.2">
      <c r="A108" s="455" t="s">
        <v>153</v>
      </c>
      <c r="B108" s="481" t="s">
        <v>154</v>
      </c>
      <c r="C108" s="259"/>
      <c r="D108" s="259"/>
      <c r="E108" s="421" t="s">
        <v>7</v>
      </c>
      <c r="F108" s="221">
        <f t="shared" ref="F108:K108" si="14">SUM(F102:F106)</f>
        <v>3918.8</v>
      </c>
      <c r="G108" s="221">
        <f t="shared" si="14"/>
        <v>0</v>
      </c>
      <c r="H108" s="118">
        <f t="shared" si="14"/>
        <v>303562.82800000004</v>
      </c>
      <c r="I108" s="118">
        <f t="shared" si="14"/>
        <v>116125.78754509086</v>
      </c>
      <c r="J108" s="118">
        <f t="shared" si="14"/>
        <v>0</v>
      </c>
      <c r="K108" s="118">
        <f t="shared" si="14"/>
        <v>419688.61554509087</v>
      </c>
    </row>
    <row r="109" spans="1:11" s="468" customFormat="1" ht="18" customHeight="1" thickBot="1" x14ac:dyDescent="0.25">
      <c r="A109" s="482"/>
      <c r="B109" s="483"/>
      <c r="C109" s="484"/>
      <c r="D109" s="484"/>
      <c r="E109" s="484"/>
      <c r="F109" s="469"/>
      <c r="G109" s="469"/>
      <c r="H109" s="469"/>
      <c r="I109" s="469"/>
      <c r="J109" s="469"/>
      <c r="K109" s="469"/>
    </row>
    <row r="110" spans="1:11" s="468" customFormat="1" ht="18" customHeight="1" x14ac:dyDescent="0.2">
      <c r="A110" s="455" t="s">
        <v>156</v>
      </c>
      <c r="B110" s="421" t="s">
        <v>39</v>
      </c>
      <c r="C110" s="259"/>
      <c r="D110" s="259"/>
      <c r="E110" s="259"/>
      <c r="F110" s="259"/>
      <c r="G110" s="259"/>
      <c r="H110" s="259"/>
      <c r="I110" s="259"/>
      <c r="J110" s="259"/>
      <c r="K110" s="259"/>
    </row>
    <row r="111" spans="1:11" ht="18" customHeight="1" x14ac:dyDescent="0.2">
      <c r="A111" s="455" t="s">
        <v>155</v>
      </c>
      <c r="B111" s="421" t="s">
        <v>164</v>
      </c>
      <c r="E111" s="421" t="s">
        <v>7</v>
      </c>
      <c r="F111" s="118">
        <v>22057000</v>
      </c>
    </row>
    <row r="112" spans="1:11" ht="18" customHeight="1" x14ac:dyDescent="0.2">
      <c r="B112" s="421"/>
      <c r="E112" s="421"/>
      <c r="F112" s="258"/>
    </row>
    <row r="113" spans="1:6" ht="18" customHeight="1" x14ac:dyDescent="0.2">
      <c r="A113" s="455"/>
      <c r="B113" s="421" t="s">
        <v>15</v>
      </c>
    </row>
    <row r="114" spans="1:6" ht="18" customHeight="1" x14ac:dyDescent="0.2">
      <c r="A114" s="435" t="s">
        <v>171</v>
      </c>
      <c r="B114" s="419" t="s">
        <v>35</v>
      </c>
      <c r="F114" s="260">
        <v>0.38254284396471244</v>
      </c>
    </row>
    <row r="115" spans="1:6" ht="18" customHeight="1" x14ac:dyDescent="0.2">
      <c r="A115" s="435"/>
      <c r="B115" s="421"/>
    </row>
    <row r="116" spans="1:6" ht="18" customHeight="1" x14ac:dyDescent="0.2">
      <c r="A116" s="435" t="s">
        <v>170</v>
      </c>
      <c r="B116" s="421" t="s">
        <v>16</v>
      </c>
    </row>
    <row r="117" spans="1:6" ht="18" customHeight="1" x14ac:dyDescent="0.2">
      <c r="A117" s="435" t="s">
        <v>172</v>
      </c>
      <c r="B117" s="419" t="s">
        <v>17</v>
      </c>
      <c r="F117" s="118">
        <v>1466758000</v>
      </c>
    </row>
    <row r="118" spans="1:6" ht="18" customHeight="1" x14ac:dyDescent="0.2">
      <c r="A118" s="435" t="s">
        <v>173</v>
      </c>
      <c r="B118" s="259" t="s">
        <v>18</v>
      </c>
      <c r="F118" s="118">
        <v>99819000</v>
      </c>
    </row>
    <row r="119" spans="1:6" ht="18" customHeight="1" x14ac:dyDescent="0.2">
      <c r="A119" s="435" t="s">
        <v>174</v>
      </c>
      <c r="B119" s="421" t="s">
        <v>19</v>
      </c>
      <c r="F119" s="118">
        <f>SUM(F117:F118)</f>
        <v>1566577000</v>
      </c>
    </row>
    <row r="120" spans="1:6" ht="18" customHeight="1" x14ac:dyDescent="0.2">
      <c r="A120" s="435"/>
      <c r="B120" s="421"/>
    </row>
    <row r="121" spans="1:6" ht="18" customHeight="1" x14ac:dyDescent="0.2">
      <c r="A121" s="435" t="s">
        <v>167</v>
      </c>
      <c r="B121" s="421" t="s">
        <v>36</v>
      </c>
      <c r="F121" s="118">
        <v>1522227000</v>
      </c>
    </row>
    <row r="122" spans="1:6" ht="18" customHeight="1" x14ac:dyDescent="0.2">
      <c r="A122" s="435"/>
    </row>
    <row r="123" spans="1:6" ht="18" customHeight="1" x14ac:dyDescent="0.2">
      <c r="A123" s="435" t="s">
        <v>175</v>
      </c>
      <c r="B123" s="421" t="s">
        <v>20</v>
      </c>
      <c r="F123" s="103">
        <f>+F119-F121</f>
        <v>44350000</v>
      </c>
    </row>
    <row r="124" spans="1:6" ht="18" customHeight="1" x14ac:dyDescent="0.2">
      <c r="A124" s="435"/>
    </row>
    <row r="125" spans="1:6" ht="18" customHeight="1" x14ac:dyDescent="0.2">
      <c r="A125" s="435" t="s">
        <v>176</v>
      </c>
      <c r="B125" s="421" t="s">
        <v>21</v>
      </c>
      <c r="F125" s="118">
        <v>4226000</v>
      </c>
    </row>
    <row r="126" spans="1:6" ht="18" customHeight="1" x14ac:dyDescent="0.2">
      <c r="A126" s="435"/>
    </row>
    <row r="127" spans="1:6" ht="18" customHeight="1" x14ac:dyDescent="0.2">
      <c r="A127" s="435" t="s">
        <v>177</v>
      </c>
      <c r="B127" s="421" t="s">
        <v>22</v>
      </c>
      <c r="F127" s="103">
        <f>+F123+F125</f>
        <v>48576000</v>
      </c>
    </row>
    <row r="128" spans="1:6" ht="18" customHeight="1" x14ac:dyDescent="0.2">
      <c r="A128" s="435"/>
    </row>
    <row r="129" spans="1:11" ht="42.75" customHeight="1" x14ac:dyDescent="0.2">
      <c r="F129" s="454" t="s">
        <v>9</v>
      </c>
      <c r="G129" s="454" t="s">
        <v>37</v>
      </c>
      <c r="H129" s="454" t="s">
        <v>29</v>
      </c>
      <c r="I129" s="454" t="s">
        <v>30</v>
      </c>
      <c r="J129" s="454" t="s">
        <v>33</v>
      </c>
      <c r="K129" s="454" t="s">
        <v>34</v>
      </c>
    </row>
    <row r="130" spans="1:11" ht="18" customHeight="1" x14ac:dyDescent="0.2">
      <c r="A130" s="455" t="s">
        <v>157</v>
      </c>
      <c r="B130" s="421" t="s">
        <v>23</v>
      </c>
    </row>
    <row r="131" spans="1:11" ht="18" customHeight="1" x14ac:dyDescent="0.2">
      <c r="A131" s="435" t="s">
        <v>158</v>
      </c>
      <c r="B131" s="259" t="s">
        <v>24</v>
      </c>
      <c r="F131" s="221"/>
      <c r="G131" s="221"/>
      <c r="H131" s="118"/>
      <c r="I131" s="133">
        <v>0</v>
      </c>
      <c r="J131" s="118"/>
      <c r="K131" s="118">
        <f>(H131+I131)-J131</f>
        <v>0</v>
      </c>
    </row>
    <row r="132" spans="1:11" ht="18" customHeight="1" x14ac:dyDescent="0.2">
      <c r="A132" s="435" t="s">
        <v>159</v>
      </c>
      <c r="B132" s="259" t="s">
        <v>25</v>
      </c>
      <c r="F132" s="221"/>
      <c r="G132" s="221"/>
      <c r="H132" s="118"/>
      <c r="I132" s="133">
        <v>0</v>
      </c>
      <c r="J132" s="118"/>
      <c r="K132" s="118">
        <f>(H132+I132)-J132</f>
        <v>0</v>
      </c>
    </row>
    <row r="133" spans="1:11" ht="18" customHeight="1" x14ac:dyDescent="0.2">
      <c r="A133" s="435" t="s">
        <v>160</v>
      </c>
      <c r="B133" s="456"/>
      <c r="C133" s="457"/>
      <c r="D133" s="458"/>
      <c r="F133" s="221"/>
      <c r="G133" s="221"/>
      <c r="H133" s="118"/>
      <c r="I133" s="133">
        <v>0</v>
      </c>
      <c r="J133" s="118"/>
      <c r="K133" s="118">
        <f>(H133+I133)-J133</f>
        <v>0</v>
      </c>
    </row>
    <row r="134" spans="1:11" ht="18" customHeight="1" x14ac:dyDescent="0.2">
      <c r="A134" s="435" t="s">
        <v>161</v>
      </c>
      <c r="B134" s="456"/>
      <c r="C134" s="457"/>
      <c r="D134" s="458"/>
      <c r="F134" s="221"/>
      <c r="G134" s="221"/>
      <c r="H134" s="118"/>
      <c r="I134" s="133">
        <v>0</v>
      </c>
      <c r="J134" s="118"/>
      <c r="K134" s="118">
        <f>(H134+I134)-J134</f>
        <v>0</v>
      </c>
    </row>
    <row r="135" spans="1:11" ht="18" customHeight="1" x14ac:dyDescent="0.2">
      <c r="A135" s="435" t="s">
        <v>162</v>
      </c>
      <c r="B135" s="456"/>
      <c r="C135" s="457"/>
      <c r="D135" s="458"/>
      <c r="F135" s="221"/>
      <c r="G135" s="221"/>
      <c r="H135" s="118"/>
      <c r="I135" s="133">
        <v>0</v>
      </c>
      <c r="J135" s="118"/>
      <c r="K135" s="118">
        <f>(H135+I135)-J135</f>
        <v>0</v>
      </c>
    </row>
    <row r="136" spans="1:11" ht="18" customHeight="1" x14ac:dyDescent="0.2">
      <c r="A136" s="455"/>
    </row>
    <row r="137" spans="1:11" ht="18" customHeight="1" x14ac:dyDescent="0.2">
      <c r="A137" s="455" t="s">
        <v>163</v>
      </c>
      <c r="B137" s="421" t="s">
        <v>27</v>
      </c>
      <c r="F137" s="221">
        <f t="shared" ref="F137:K137" si="15">SUM(F131:F135)</f>
        <v>0</v>
      </c>
      <c r="G137" s="221">
        <f t="shared" si="15"/>
        <v>0</v>
      </c>
      <c r="H137" s="118">
        <f t="shared" si="15"/>
        <v>0</v>
      </c>
      <c r="I137" s="118">
        <f t="shared" si="15"/>
        <v>0</v>
      </c>
      <c r="J137" s="118">
        <f t="shared" si="15"/>
        <v>0</v>
      </c>
      <c r="K137" s="118">
        <f t="shared" si="15"/>
        <v>0</v>
      </c>
    </row>
    <row r="138" spans="1:11" ht="18" customHeight="1" x14ac:dyDescent="0.2">
      <c r="A138" s="259"/>
    </row>
    <row r="139" spans="1:11" ht="42.75" customHeight="1" x14ac:dyDescent="0.2">
      <c r="F139" s="454" t="s">
        <v>9</v>
      </c>
      <c r="G139" s="454" t="s">
        <v>37</v>
      </c>
      <c r="H139" s="454" t="s">
        <v>29</v>
      </c>
      <c r="I139" s="454" t="s">
        <v>30</v>
      </c>
      <c r="J139" s="454" t="s">
        <v>33</v>
      </c>
      <c r="K139" s="454" t="s">
        <v>34</v>
      </c>
    </row>
    <row r="140" spans="1:11" ht="18" customHeight="1" x14ac:dyDescent="0.2">
      <c r="A140" s="455" t="s">
        <v>166</v>
      </c>
      <c r="B140" s="421" t="s">
        <v>26</v>
      </c>
    </row>
    <row r="141" spans="1:11" ht="18" customHeight="1" x14ac:dyDescent="0.2">
      <c r="A141" s="435" t="s">
        <v>137</v>
      </c>
      <c r="B141" s="421" t="s">
        <v>64</v>
      </c>
      <c r="F141" s="422">
        <f t="shared" ref="F141:K141" si="16">F36</f>
        <v>50486.2</v>
      </c>
      <c r="G141" s="422">
        <f t="shared" si="16"/>
        <v>35654</v>
      </c>
      <c r="H141" s="422">
        <f t="shared" si="16"/>
        <v>1824988.6401233766</v>
      </c>
      <c r="I141" s="422">
        <f t="shared" si="16"/>
        <v>698136.34459608968</v>
      </c>
      <c r="J141" s="422">
        <f t="shared" si="16"/>
        <v>1061048</v>
      </c>
      <c r="K141" s="422">
        <f t="shared" si="16"/>
        <v>1462076.9847194664</v>
      </c>
    </row>
    <row r="142" spans="1:11" ht="18" customHeight="1" x14ac:dyDescent="0.2">
      <c r="A142" s="435" t="s">
        <v>142</v>
      </c>
      <c r="B142" s="421" t="s">
        <v>65</v>
      </c>
      <c r="F142" s="422">
        <f t="shared" ref="F142:K142" si="17">F49</f>
        <v>2505139.4466178962</v>
      </c>
      <c r="G142" s="422">
        <f t="shared" si="17"/>
        <v>1487</v>
      </c>
      <c r="H142" s="422">
        <f t="shared" si="17"/>
        <v>120590101.68190652</v>
      </c>
      <c r="I142" s="422">
        <f t="shared" si="17"/>
        <v>46130880.451390371</v>
      </c>
      <c r="J142" s="422">
        <f t="shared" si="17"/>
        <v>0</v>
      </c>
      <c r="K142" s="422">
        <f t="shared" si="17"/>
        <v>166720982.13329691</v>
      </c>
    </row>
    <row r="143" spans="1:11" ht="18" customHeight="1" x14ac:dyDescent="0.2">
      <c r="A143" s="435" t="s">
        <v>144</v>
      </c>
      <c r="B143" s="421" t="s">
        <v>66</v>
      </c>
      <c r="F143" s="422">
        <f t="shared" ref="F143:K143" si="18">F64</f>
        <v>240044.60999669693</v>
      </c>
      <c r="G143" s="422">
        <f t="shared" si="18"/>
        <v>76202</v>
      </c>
      <c r="H143" s="422">
        <f t="shared" si="18"/>
        <v>19441467.34</v>
      </c>
      <c r="I143" s="422">
        <f t="shared" si="18"/>
        <v>7437194.2070906721</v>
      </c>
      <c r="J143" s="422">
        <f t="shared" si="18"/>
        <v>11950538.02</v>
      </c>
      <c r="K143" s="422">
        <f t="shared" si="18"/>
        <v>14928123.527090674</v>
      </c>
    </row>
    <row r="144" spans="1:11" ht="18" customHeight="1" x14ac:dyDescent="0.2">
      <c r="A144" s="435" t="s">
        <v>146</v>
      </c>
      <c r="B144" s="421" t="s">
        <v>67</v>
      </c>
      <c r="F144" s="422">
        <f t="shared" ref="F144:K144" si="19">F74</f>
        <v>0</v>
      </c>
      <c r="G144" s="422">
        <f t="shared" si="19"/>
        <v>0</v>
      </c>
      <c r="H144" s="422">
        <f t="shared" si="19"/>
        <v>0</v>
      </c>
      <c r="I144" s="422">
        <f t="shared" si="19"/>
        <v>0</v>
      </c>
      <c r="J144" s="422">
        <f t="shared" si="19"/>
        <v>0</v>
      </c>
      <c r="K144" s="422">
        <f t="shared" si="19"/>
        <v>0</v>
      </c>
    </row>
    <row r="145" spans="1:11" ht="18" customHeight="1" x14ac:dyDescent="0.2">
      <c r="A145" s="435" t="s">
        <v>148</v>
      </c>
      <c r="B145" s="421" t="s">
        <v>68</v>
      </c>
      <c r="F145" s="422">
        <f t="shared" ref="F145:K145" si="20">F82</f>
        <v>450</v>
      </c>
      <c r="G145" s="422">
        <f t="shared" si="20"/>
        <v>1270</v>
      </c>
      <c r="H145" s="422">
        <f t="shared" si="20"/>
        <v>479915.6</v>
      </c>
      <c r="I145" s="422">
        <f t="shared" si="20"/>
        <v>0</v>
      </c>
      <c r="J145" s="422">
        <f t="shared" si="20"/>
        <v>0</v>
      </c>
      <c r="K145" s="422">
        <f t="shared" si="20"/>
        <v>479915.6</v>
      </c>
    </row>
    <row r="146" spans="1:11" ht="18" customHeight="1" x14ac:dyDescent="0.2">
      <c r="A146" s="435" t="s">
        <v>150</v>
      </c>
      <c r="B146" s="421" t="s">
        <v>69</v>
      </c>
      <c r="F146" s="422">
        <f t="shared" ref="F146:K146" si="21">F98</f>
        <v>7201</v>
      </c>
      <c r="G146" s="422">
        <f t="shared" si="21"/>
        <v>12997</v>
      </c>
      <c r="H146" s="422">
        <f t="shared" si="21"/>
        <v>906146.21671218867</v>
      </c>
      <c r="I146" s="422">
        <f t="shared" si="21"/>
        <v>346639.7507889453</v>
      </c>
      <c r="J146" s="422">
        <f t="shared" si="21"/>
        <v>0</v>
      </c>
      <c r="K146" s="422">
        <f t="shared" si="21"/>
        <v>1252785.9675011341</v>
      </c>
    </row>
    <row r="147" spans="1:11" ht="18" customHeight="1" x14ac:dyDescent="0.2">
      <c r="A147" s="435" t="s">
        <v>153</v>
      </c>
      <c r="B147" s="421" t="s">
        <v>61</v>
      </c>
      <c r="F147" s="221">
        <f t="shared" ref="F147:K147" si="22">F108</f>
        <v>3918.8</v>
      </c>
      <c r="G147" s="221">
        <f t="shared" si="22"/>
        <v>0</v>
      </c>
      <c r="H147" s="221">
        <f t="shared" si="22"/>
        <v>303562.82800000004</v>
      </c>
      <c r="I147" s="221">
        <f t="shared" si="22"/>
        <v>116125.78754509086</v>
      </c>
      <c r="J147" s="221">
        <f t="shared" si="22"/>
        <v>0</v>
      </c>
      <c r="K147" s="221">
        <f t="shared" si="22"/>
        <v>419688.61554509087</v>
      </c>
    </row>
    <row r="148" spans="1:11" ht="18" customHeight="1" x14ac:dyDescent="0.2">
      <c r="A148" s="435" t="s">
        <v>155</v>
      </c>
      <c r="B148" s="421" t="s">
        <v>70</v>
      </c>
      <c r="F148" s="485" t="s">
        <v>73</v>
      </c>
      <c r="G148" s="485" t="s">
        <v>73</v>
      </c>
      <c r="H148" s="486" t="s">
        <v>73</v>
      </c>
      <c r="I148" s="486" t="s">
        <v>73</v>
      </c>
      <c r="J148" s="486" t="s">
        <v>73</v>
      </c>
      <c r="K148" s="423">
        <f>F111</f>
        <v>22057000</v>
      </c>
    </row>
    <row r="149" spans="1:11" ht="18" customHeight="1" x14ac:dyDescent="0.2">
      <c r="A149" s="435" t="s">
        <v>163</v>
      </c>
      <c r="B149" s="421" t="s">
        <v>71</v>
      </c>
      <c r="F149" s="221">
        <f t="shared" ref="F149:K149" si="23">F137</f>
        <v>0</v>
      </c>
      <c r="G149" s="221">
        <f t="shared" si="23"/>
        <v>0</v>
      </c>
      <c r="H149" s="221">
        <f t="shared" si="23"/>
        <v>0</v>
      </c>
      <c r="I149" s="221">
        <f t="shared" si="23"/>
        <v>0</v>
      </c>
      <c r="J149" s="221">
        <f t="shared" si="23"/>
        <v>0</v>
      </c>
      <c r="K149" s="221">
        <f t="shared" si="23"/>
        <v>0</v>
      </c>
    </row>
    <row r="150" spans="1:11" ht="18" customHeight="1" x14ac:dyDescent="0.2">
      <c r="A150" s="435" t="s">
        <v>185</v>
      </c>
      <c r="B150" s="421" t="s">
        <v>186</v>
      </c>
      <c r="F150" s="485" t="s">
        <v>73</v>
      </c>
      <c r="G150" s="485" t="s">
        <v>73</v>
      </c>
      <c r="H150" s="221">
        <f>H18</f>
        <v>36161459.210000001</v>
      </c>
      <c r="I150" s="221">
        <f>I18</f>
        <v>0</v>
      </c>
      <c r="J150" s="221">
        <f>J18</f>
        <v>30563568.780000001</v>
      </c>
      <c r="K150" s="221">
        <f>K18</f>
        <v>5597890.4299999997</v>
      </c>
    </row>
    <row r="151" spans="1:11" ht="18" customHeight="1" x14ac:dyDescent="0.2">
      <c r="B151" s="421"/>
      <c r="F151" s="478"/>
      <c r="G151" s="478"/>
      <c r="H151" s="478"/>
      <c r="I151" s="478"/>
      <c r="J151" s="478"/>
      <c r="K151" s="478"/>
    </row>
    <row r="152" spans="1:11" ht="18" customHeight="1" x14ac:dyDescent="0.2">
      <c r="A152" s="455" t="s">
        <v>165</v>
      </c>
      <c r="B152" s="421" t="s">
        <v>26</v>
      </c>
      <c r="F152" s="487">
        <f t="shared" ref="F152:K152" si="24">SUM(F141:F150)</f>
        <v>2807240.0566145931</v>
      </c>
      <c r="G152" s="487">
        <f t="shared" si="24"/>
        <v>127610</v>
      </c>
      <c r="H152" s="487">
        <f t="shared" si="24"/>
        <v>179707641.51674208</v>
      </c>
      <c r="I152" s="487">
        <f t="shared" si="24"/>
        <v>54728976.541411169</v>
      </c>
      <c r="J152" s="487">
        <f t="shared" si="24"/>
        <v>43575154.799999997</v>
      </c>
      <c r="K152" s="487">
        <f t="shared" si="24"/>
        <v>212918463.25815326</v>
      </c>
    </row>
    <row r="154" spans="1:11" ht="18" customHeight="1" x14ac:dyDescent="0.2">
      <c r="A154" s="455" t="s">
        <v>168</v>
      </c>
      <c r="B154" s="421" t="s">
        <v>28</v>
      </c>
      <c r="F154" s="140">
        <f>K152/F121</f>
        <v>0.13987300399884725</v>
      </c>
    </row>
    <row r="155" spans="1:11" ht="18" customHeight="1" x14ac:dyDescent="0.2">
      <c r="A155" s="455" t="s">
        <v>169</v>
      </c>
      <c r="B155" s="421" t="s">
        <v>72</v>
      </c>
      <c r="F155" s="140">
        <f>K152/F127</f>
        <v>4.3832028832788463</v>
      </c>
      <c r="G155" s="421"/>
    </row>
    <row r="156" spans="1:11" ht="18" customHeight="1" x14ac:dyDescent="0.2">
      <c r="G156" s="421"/>
    </row>
  </sheetData>
  <sheetProtection algorithmName="SHA-512" hashValue="mMLoBh6YEcy9HPss68O7tFvuO4a4jjX6HMwdRxq37jb2ZYwpUWEMvWuZclNI6+e/ug6zf2J7Tcnk4rIgsP+nuQ==" saltValue="nLgGaek9dS+e9cUzvw3CPg==" spinCount="100000" sheet="1" objects="1" scenarios="1"/>
  <mergeCells count="34">
    <mergeCell ref="B34:D34"/>
    <mergeCell ref="C10:G10"/>
    <mergeCell ref="C11:G11"/>
    <mergeCell ref="B13:H13"/>
    <mergeCell ref="B30:D30"/>
    <mergeCell ref="B31:D31"/>
    <mergeCell ref="D2:H2"/>
    <mergeCell ref="C5:G5"/>
    <mergeCell ref="C6:G6"/>
    <mergeCell ref="C7:G7"/>
    <mergeCell ref="C9:G9"/>
    <mergeCell ref="B56:D56"/>
    <mergeCell ref="B57:D57"/>
    <mergeCell ref="B41:C41"/>
    <mergeCell ref="B106:D106"/>
    <mergeCell ref="B133:D133"/>
    <mergeCell ref="B90:C90"/>
    <mergeCell ref="B44:D44"/>
    <mergeCell ref="B45:D45"/>
    <mergeCell ref="B46:D46"/>
    <mergeCell ref="B47:D47"/>
    <mergeCell ref="B59:D59"/>
    <mergeCell ref="B62:D62"/>
    <mergeCell ref="B52:C52"/>
    <mergeCell ref="B53:D53"/>
    <mergeCell ref="B55:D55"/>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76AFD5-1D35-417F-AF23-A37090B940BC}"/>
</file>

<file path=customXml/itemProps2.xml><?xml version="1.0" encoding="utf-8"?>
<ds:datastoreItem xmlns:ds="http://schemas.openxmlformats.org/officeDocument/2006/customXml" ds:itemID="{DAA2178E-0F44-4279-BD1A-DFD1288BC890}"/>
</file>

<file path=customXml/itemProps3.xml><?xml version="1.0" encoding="utf-8"?>
<ds:datastoreItem xmlns:ds="http://schemas.openxmlformats.org/officeDocument/2006/customXml" ds:itemID="{1856D581-BC9F-4E1A-8325-253F48843A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49</vt:i4>
      </vt:variant>
    </vt:vector>
  </HeadingPairs>
  <TitlesOfParts>
    <vt:vector size="107" baseType="lpstr">
      <vt:lpstr>DME_NSPI-all</vt:lpstr>
      <vt:lpstr>Charity in Rates</vt:lpstr>
      <vt:lpstr>Figures</vt:lpstr>
      <vt:lpstr>CB Table 1</vt:lpstr>
      <vt:lpstr>Rate Support-Attachment I</vt:lpstr>
      <vt:lpstr>Attachment II-All Hospitals</vt:lpstr>
      <vt:lpstr>Attachment III-All</vt:lpstr>
      <vt:lpstr>#1-Meritus</vt:lpstr>
      <vt:lpstr>#2-UMMC</vt:lpstr>
      <vt:lpstr>#3-Prince Georges Hospital</vt:lpstr>
      <vt:lpstr>#4-Holy Cross Hospital</vt:lpstr>
      <vt:lpstr>#5-Frederick Memorial Hospital</vt:lpstr>
      <vt:lpstr>#6-UM Harford Memorial</vt:lpstr>
      <vt:lpstr>#8-Mercy</vt:lpstr>
      <vt:lpstr>#9-Johns Hopkins</vt:lpstr>
      <vt:lpstr>#10-UM Shore Health Dorchester</vt:lpstr>
      <vt:lpstr>#11-St. Agnes Hospital</vt:lpstr>
      <vt:lpstr>#12-Sinai</vt:lpstr>
      <vt:lpstr>#13-Bon Secours</vt:lpstr>
      <vt:lpstr>#15-MedStar Franklin Square</vt:lpstr>
      <vt:lpstr>#16-Washington Adventist</vt:lpstr>
      <vt:lpstr>#17-Garrett County Memorial</vt:lpstr>
      <vt:lpstr>#18-MedStar Montgomery General</vt:lpstr>
      <vt:lpstr>#19-Peninsula Regional</vt:lpstr>
      <vt:lpstr>#22-Suburban</vt:lpstr>
      <vt:lpstr>#23-AAMC</vt:lpstr>
      <vt:lpstr>#24-MedStar Union Memorial</vt:lpstr>
      <vt:lpstr>#27-Western Maryland Regional</vt:lpstr>
      <vt:lpstr>#28-MedStar St. Marys</vt:lpstr>
      <vt:lpstr>#29-JH Bayview</vt:lpstr>
      <vt:lpstr>#30-UM Shore Health Chestertown</vt:lpstr>
      <vt:lpstr>#32-Union Hospital Cecil Co</vt:lpstr>
      <vt:lpstr>#33-Carroll Hospital Center</vt:lpstr>
      <vt:lpstr>#34-MedStar Harbor Hospital</vt:lpstr>
      <vt:lpstr>#35-UM Charles Regional</vt:lpstr>
      <vt:lpstr>#37-UM Shore Health Easton</vt:lpstr>
      <vt:lpstr>#38-UM Midtown</vt:lpstr>
      <vt:lpstr>#39-Calvert Memorial</vt:lpstr>
      <vt:lpstr>#40-Lifebridge Northwest</vt:lpstr>
      <vt:lpstr>#43-UM BWMC</vt:lpstr>
      <vt:lpstr>#44-GBMC</vt:lpstr>
      <vt:lpstr>#45-McCready</vt:lpstr>
      <vt:lpstr>#48-Howard County</vt:lpstr>
      <vt:lpstr>#49-UM Upper Chesapeake Medical</vt:lpstr>
      <vt:lpstr>#51-Doctors Community Hospital</vt:lpstr>
      <vt:lpstr>#60-Fort Washington</vt:lpstr>
      <vt:lpstr>#61-Atlantic General</vt:lpstr>
      <vt:lpstr>#62-MedStar Southern Maryland</vt:lpstr>
      <vt:lpstr>#63-UM St Joseph</vt:lpstr>
      <vt:lpstr>#64-Levindale</vt:lpstr>
      <vt:lpstr>#65-Holy Cross Germantown</vt:lpstr>
      <vt:lpstr>#2001-UM ROI</vt:lpstr>
      <vt:lpstr>#2004-MedStar Good Samaritan</vt:lpstr>
      <vt:lpstr>#5050-Shady Grove Adventist</vt:lpstr>
      <vt:lpstr>#3029-Adventist Rehab</vt:lpstr>
      <vt:lpstr>#4000-Sheppard Pratt</vt:lpstr>
      <vt:lpstr>#4013-ABH-Rockville</vt:lpstr>
      <vt:lpstr>#5034-Mt Washington Pediatric</vt:lpstr>
      <vt:lpstr>'#11-St. Agnes Hospital'!Print_Area</vt:lpstr>
      <vt:lpstr>'#12-Sinai'!Print_Area</vt:lpstr>
      <vt:lpstr>'#13-Bon Secours'!Print_Area</vt:lpstr>
      <vt:lpstr>'#15-MedStar Franklin Square'!Print_Area</vt:lpstr>
      <vt:lpstr>'#16-Washington Adventist'!Print_Area</vt:lpstr>
      <vt:lpstr>'#17-Garrett County Memorial'!Print_Area</vt:lpstr>
      <vt:lpstr>'#19-Peninsula Regional'!Print_Area</vt:lpstr>
      <vt:lpstr>'#1-Meritus'!Print_Area</vt:lpstr>
      <vt:lpstr>'#2001-UM ROI'!Print_Area</vt:lpstr>
      <vt:lpstr>'#2004-MedStar Good Samaritan'!Print_Area</vt:lpstr>
      <vt:lpstr>'#22-Suburban'!Print_Area</vt:lpstr>
      <vt:lpstr>'#27-Western Maryland Regional'!Print_Area</vt:lpstr>
      <vt:lpstr>'#2-UMMC'!Print_Area</vt:lpstr>
      <vt:lpstr>'#3029-Adventist Rehab'!Print_Area</vt:lpstr>
      <vt:lpstr>'#32-Union Hospital Cecil Co'!Print_Area</vt:lpstr>
      <vt:lpstr>'#33-Carroll Hospital Center'!Print_Area</vt:lpstr>
      <vt:lpstr>'#35-UM Charles Regional'!Print_Area</vt:lpstr>
      <vt:lpstr>'#38-UM Midtown'!Print_Area</vt:lpstr>
      <vt:lpstr>'#39-Calvert Memorial'!Print_Area</vt:lpstr>
      <vt:lpstr>'#3-Prince Georges Hospital'!Print_Area</vt:lpstr>
      <vt:lpstr>'#4000-Sheppard Pratt'!Print_Area</vt:lpstr>
      <vt:lpstr>'#4013-ABH-Rockville'!Print_Area</vt:lpstr>
      <vt:lpstr>'#40-Lifebridge Northwest'!Print_Area</vt:lpstr>
      <vt:lpstr>'#43-UM BWMC'!Print_Area</vt:lpstr>
      <vt:lpstr>'#44-GBMC'!Print_Area</vt:lpstr>
      <vt:lpstr>'#45-McCready'!Print_Area</vt:lpstr>
      <vt:lpstr>'#48-Howard County'!Print_Area</vt:lpstr>
      <vt:lpstr>'#49-UM Upper Chesapeake Medical'!Print_Area</vt:lpstr>
      <vt:lpstr>'#4-Holy Cross Hospital'!Print_Area</vt:lpstr>
      <vt:lpstr>'#5050-Shady Grove Adventist'!Print_Area</vt:lpstr>
      <vt:lpstr>'#51-Doctors Community Hospital'!Print_Area</vt:lpstr>
      <vt:lpstr>'#5-Frederick Memorial Hospital'!Print_Area</vt:lpstr>
      <vt:lpstr>'#60-Fort Washington'!Print_Area</vt:lpstr>
      <vt:lpstr>'#61-Atlantic General'!Print_Area</vt:lpstr>
      <vt:lpstr>'#62-MedStar Southern Maryland'!Print_Area</vt:lpstr>
      <vt:lpstr>'#64-Levindale'!Print_Area</vt:lpstr>
      <vt:lpstr>'#65-Holy Cross Germantown'!Print_Area</vt:lpstr>
      <vt:lpstr>'#6-UM Harford Memorial'!Print_Area</vt:lpstr>
      <vt:lpstr>'#8-Mercy'!Print_Area</vt:lpstr>
      <vt:lpstr>'#9-Johns Hopkins'!Print_Area</vt:lpstr>
      <vt:lpstr>'Attachment II-All Hospitals'!Print_Area</vt:lpstr>
      <vt:lpstr>'CB Table 1'!Print_Area</vt:lpstr>
      <vt:lpstr>'DME_NSPI-all'!Print_Area</vt:lpstr>
      <vt:lpstr>Figures!Print_Area</vt:lpstr>
      <vt:lpstr>'Rate Support-Attachment I'!Print_Area</vt:lpstr>
      <vt:lpstr>'#10-UM Shore Health Dorchester'!Print_Titles</vt:lpstr>
      <vt:lpstr>'#30-UM Shore Health Chestertown'!Print_Titles</vt:lpstr>
      <vt:lpstr>'#37-UM Shore Health Easton'!Print_Titles</vt:lpstr>
      <vt:lpstr>'Attachment III-All'!Print_Titles</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Preferred Customer</dc:creator>
  <cp:lastModifiedBy>Amanda Vaughan</cp:lastModifiedBy>
  <cp:lastPrinted>2016-10-11T20:44:07Z</cp:lastPrinted>
  <dcterms:created xsi:type="dcterms:W3CDTF">2003-01-20T15:08:29Z</dcterms:created>
  <dcterms:modified xsi:type="dcterms:W3CDTF">2019-04-18T15:57:34Z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