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https://mdhscrc-my.sharepoint.com/personal/ldiven_hscrc_maryland_gov/Documents/CB Files/FY 2020 Reports Year 2020/"/>
    </mc:Choice>
  </mc:AlternateContent>
  <xr:revisionPtr revIDLastSave="0" documentId="8_{92F4A55A-F9BA-4C9D-B249-BA04941504B1}" xr6:coauthVersionLast="47" xr6:coauthVersionMax="47" xr10:uidLastSave="{00000000-0000-0000-0000-000000000000}"/>
  <bookViews>
    <workbookView xWindow="-96" yWindow="-96" windowWidth="23232" windowHeight="13872" tabRatio="874" xr2:uid="{00000000-000D-0000-FFFF-FFFF00000000}"/>
  </bookViews>
  <sheets>
    <sheet name="DME_NSPI-all" sheetId="3" r:id="rId1"/>
    <sheet name="Charity in Rates" sheetId="127" r:id="rId2"/>
    <sheet name="Figures" sheetId="6" r:id="rId3"/>
    <sheet name="CB Table 1" sheetId="5" r:id="rId4"/>
    <sheet name="Rate Support-Attachment I" sheetId="4" r:id="rId5"/>
    <sheet name="Attachment II-All Hospitals" sheetId="126" r:id="rId6"/>
    <sheet name="Attachment III-All" sheetId="60" r:id="rId7"/>
    <sheet name="#1-Meritus" sheetId="67" r:id="rId8"/>
    <sheet name="#2-UMMC" sheetId="68" r:id="rId9"/>
    <sheet name="#3-Prince Georges Hospital" sheetId="110" r:id="rId10"/>
    <sheet name="#4-Holy Cross Hospital" sheetId="76" r:id="rId11"/>
    <sheet name="#5-Frederick Memorial Hospital" sheetId="77" r:id="rId12"/>
    <sheet name="#6-UM Harford Memorial" sheetId="73" r:id="rId13"/>
    <sheet name="#8-Mercy" sheetId="78" r:id="rId14"/>
    <sheet name="#9-Johns Hopkins" sheetId="79" r:id="rId15"/>
    <sheet name="#10-UM Shore Health Dorchester" sheetId="108" r:id="rId16"/>
    <sheet name="#11-St. Agnes Hospital" sheetId="80" r:id="rId17"/>
    <sheet name="#12-Sinai" sheetId="81" r:id="rId18"/>
    <sheet name="#13-Bon Secours" sheetId="82" r:id="rId19"/>
    <sheet name="#15-MedStar Franklin Square" sheetId="83" r:id="rId20"/>
    <sheet name="#16-Washington Adventist" sheetId="113" r:id="rId21"/>
    <sheet name="#17-Garrett County Memorial" sheetId="84" r:id="rId22"/>
    <sheet name="#18-MedStar Montgomery General" sheetId="85" r:id="rId23"/>
    <sheet name="#19-Peninsula Regional" sheetId="86" r:id="rId24"/>
    <sheet name="#22-Suburban" sheetId="122" r:id="rId25"/>
    <sheet name="#23-AAMC" sheetId="123" r:id="rId26"/>
    <sheet name="#24-MedStar Union Memorial" sheetId="88" r:id="rId27"/>
    <sheet name="#27-Western Maryland Regional" sheetId="89" r:id="rId28"/>
    <sheet name="#28-MedStar St. Marys" sheetId="90" r:id="rId29"/>
    <sheet name="#29-JH Bayview" sheetId="124" r:id="rId30"/>
    <sheet name="#30-UM Shore Health Chestertown" sheetId="107" r:id="rId31"/>
    <sheet name="#32-Union Hospital Cecil Co" sheetId="92" r:id="rId32"/>
    <sheet name="#33-Carroll Hospital Center" sheetId="93" r:id="rId33"/>
    <sheet name="#34-MedStar Harbor Hospital" sheetId="94" r:id="rId34"/>
    <sheet name="#35-UM Charles Regional" sheetId="95" r:id="rId35"/>
    <sheet name="#37-UM Shore Health Easton" sheetId="109" r:id="rId36"/>
    <sheet name="#38-UM Midtown" sheetId="70" r:id="rId37"/>
    <sheet name="#39-Calvert Memorial" sheetId="96" r:id="rId38"/>
    <sheet name="#40-Lifebridge Northwest" sheetId="97" r:id="rId39"/>
    <sheet name="#43-UM BWMC" sheetId="71" r:id="rId40"/>
    <sheet name="#44-GBMC" sheetId="118" r:id="rId41"/>
    <sheet name="#45-McCready" sheetId="117" r:id="rId42"/>
    <sheet name="#48-Howard County" sheetId="98" r:id="rId43"/>
    <sheet name="#49-UM Upper Chesapeake Medical" sheetId="74" r:id="rId44"/>
    <sheet name="#51-Doctors Community Hospital" sheetId="99" r:id="rId45"/>
    <sheet name="#60-Fort Washington" sheetId="101" r:id="rId46"/>
    <sheet name="#61-Atlantic General" sheetId="102" r:id="rId47"/>
    <sheet name="#62-MedStar Southern Maryland" sheetId="103" r:id="rId48"/>
    <sheet name="#63-UM St Joseph" sheetId="125" r:id="rId49"/>
    <sheet name="#64-Levindale" sheetId="104" r:id="rId50"/>
    <sheet name="#65-Holy Cross Germantown" sheetId="106" r:id="rId51"/>
    <sheet name="#2001-UM ROI" sheetId="72" r:id="rId52"/>
    <sheet name="#2004-MedStar Good Samaritan" sheetId="100" r:id="rId53"/>
    <sheet name="#5050-Shady Grove Adventist" sheetId="114" r:id="rId54"/>
    <sheet name="#3029-Adventist Rehab" sheetId="119" r:id="rId55"/>
    <sheet name="#4000-Sheppard Pratt" sheetId="105" r:id="rId56"/>
    <sheet name="#5034-Mt Washington Pediatric" sheetId="75" r:id="rId57"/>
  </sheets>
  <externalReferences>
    <externalReference r:id="rId58"/>
    <externalReference r:id="rId59"/>
    <externalReference r:id="rId60"/>
    <externalReference r:id="rId61"/>
    <externalReference r:id="rId62"/>
    <externalReference r:id="rId63"/>
    <externalReference r:id="rId64"/>
  </externalReferences>
  <definedNames>
    <definedName name="_xlnm._FilterDatabase" localSheetId="5" hidden="1">'Attachment II-All Hospitals'!$A$2:$K$2</definedName>
    <definedName name="_xlnm._FilterDatabase" localSheetId="2" hidden="1">Figures!$A$2:$C$11</definedName>
    <definedName name="acct" localSheetId="24">#REF!</definedName>
    <definedName name="acct" localSheetId="25">#REF!</definedName>
    <definedName name="acct" localSheetId="29">#REF!</definedName>
    <definedName name="acct" localSheetId="48">#REF!</definedName>
    <definedName name="acct" localSheetId="5">#REF!</definedName>
    <definedName name="acct" localSheetId="6">#REF!</definedName>
    <definedName name="acct">#REF!</definedName>
    <definedName name="acct1" localSheetId="24">#REF!</definedName>
    <definedName name="acct1" localSheetId="25">#REF!</definedName>
    <definedName name="acct1" localSheetId="29">#REF!</definedName>
    <definedName name="acct1" localSheetId="48">#REF!</definedName>
    <definedName name="acct1" localSheetId="5">#REF!</definedName>
    <definedName name="acct1" localSheetId="6">#REF!</definedName>
    <definedName name="acct1">#REF!</definedName>
    <definedName name="bal_umc" localSheetId="24">'[1]p8 CONS BS'!#REF!</definedName>
    <definedName name="bal_umc" localSheetId="25">'[1]p8 CONS BS'!#REF!</definedName>
    <definedName name="bal_umc" localSheetId="29">'[1]p8 CONS BS'!#REF!</definedName>
    <definedName name="bal_umc" localSheetId="48">'[1]p8 CONS BS'!#REF!</definedName>
    <definedName name="bal_umc" localSheetId="5">'[1]p8 CONS BS'!#REF!</definedName>
    <definedName name="bal_umc" localSheetId="6">'[1]p8 CONS BS'!#REF!</definedName>
    <definedName name="bal_umc">'[1]p8 CONS BS'!#REF!</definedName>
    <definedName name="BALANCE_UMMC" localSheetId="24">'[1]p8 CONS BS'!#REF!</definedName>
    <definedName name="BALANCE_UMMC" localSheetId="25">'[1]p8 CONS BS'!#REF!</definedName>
    <definedName name="BALANCE_UMMC" localSheetId="29">'[1]p8 CONS BS'!#REF!</definedName>
    <definedName name="BALANCE_UMMC" localSheetId="48">'[1]p8 CONS BS'!#REF!</definedName>
    <definedName name="BALANCE_UMMC" localSheetId="5">'[1]p8 CONS BS'!#REF!</definedName>
    <definedName name="BALANCE_UMMC" localSheetId="6">'[1]p8 CONS BS'!#REF!</definedName>
    <definedName name="BALANCE_UMMC">'[1]p8 CONS BS'!#REF!</definedName>
    <definedName name="C_Code" localSheetId="24">[2]D!#REF!</definedName>
    <definedName name="C_Code" localSheetId="25">[2]D!#REF!</definedName>
    <definedName name="C_Code" localSheetId="29">[2]D!#REF!</definedName>
    <definedName name="C_Code" localSheetId="48">[2]D!#REF!</definedName>
    <definedName name="C_Code" localSheetId="5">[2]D!#REF!</definedName>
    <definedName name="C_Code">[2]D!#REF!</definedName>
    <definedName name="C_Num" localSheetId="24">[2]D!#REF!</definedName>
    <definedName name="C_Num" localSheetId="25">[2]D!#REF!</definedName>
    <definedName name="C_Num" localSheetId="29">[2]D!#REF!</definedName>
    <definedName name="C_Num" localSheetId="48">[2]D!#REF!</definedName>
    <definedName name="C_Num" localSheetId="5">[2]D!#REF!</definedName>
    <definedName name="C_Num">[2]D!#REF!</definedName>
    <definedName name="CASH_UMMC" localSheetId="24">'[1]p10 CF'!#REF!</definedName>
    <definedName name="CASH_UMMC" localSheetId="25">'[1]p10 CF'!#REF!</definedName>
    <definedName name="CASH_UMMC" localSheetId="29">'[1]p10 CF'!#REF!</definedName>
    <definedName name="CASH_UMMC" localSheetId="48">'[1]p10 CF'!#REF!</definedName>
    <definedName name="CASH_UMMC" localSheetId="5">'[1]p10 CF'!#REF!</definedName>
    <definedName name="CASH_UMMC">'[1]p10 CF'!#REF!</definedName>
    <definedName name="CFA_I" localSheetId="24">#REF!</definedName>
    <definedName name="CFA_I" localSheetId="25">#REF!</definedName>
    <definedName name="CFA_I" localSheetId="29">#REF!</definedName>
    <definedName name="CFA_I" localSheetId="48">#REF!</definedName>
    <definedName name="CFA_I" localSheetId="5">#REF!</definedName>
    <definedName name="CFA_I" localSheetId="6">#REF!</definedName>
    <definedName name="CFA_I">#REF!</definedName>
    <definedName name="consol" localSheetId="24">#REF!</definedName>
    <definedName name="consol" localSheetId="25">#REF!</definedName>
    <definedName name="consol" localSheetId="29">#REF!</definedName>
    <definedName name="consol" localSheetId="48">#REF!</definedName>
    <definedName name="consol" localSheetId="5">#REF!</definedName>
    <definedName name="consol" localSheetId="6">#REF!</definedName>
    <definedName name="consol">#REF!</definedName>
    <definedName name="CPV" localSheetId="24">#REF!</definedName>
    <definedName name="CPV" localSheetId="25">#REF!</definedName>
    <definedName name="CPV" localSheetId="29">#REF!</definedName>
    <definedName name="CPV" localSheetId="48">#REF!</definedName>
    <definedName name="CPV" localSheetId="5">#REF!</definedName>
    <definedName name="CPV">#REF!</definedName>
    <definedName name="csh_ummc" localSheetId="24">'[1]p10 CF'!#REF!</definedName>
    <definedName name="csh_ummc" localSheetId="25">'[1]p10 CF'!#REF!</definedName>
    <definedName name="csh_ummc" localSheetId="29">'[1]p10 CF'!#REF!</definedName>
    <definedName name="csh_ummc" localSheetId="48">'[1]p10 CF'!#REF!</definedName>
    <definedName name="csh_ummc" localSheetId="5">'[1]p10 CF'!#REF!</definedName>
    <definedName name="csh_ummc" localSheetId="6">'[1]p10 CF'!#REF!</definedName>
    <definedName name="csh_ummc">'[1]p10 CF'!#REF!</definedName>
    <definedName name="CurrRO">'[3]PY RO'!$A$13:$K$86</definedName>
    <definedName name="DataRange" localSheetId="24">#REF!</definedName>
    <definedName name="DataRange" localSheetId="25">#REF!</definedName>
    <definedName name="DataRange" localSheetId="29">#REF!</definedName>
    <definedName name="DataRange" localSheetId="48">#REF!</definedName>
    <definedName name="DataRange" localSheetId="5">#REF!</definedName>
    <definedName name="DataRange" localSheetId="6">#REF!</definedName>
    <definedName name="DataRange">#REF!</definedName>
    <definedName name="dept" localSheetId="24">#REF!</definedName>
    <definedName name="dept" localSheetId="25">#REF!</definedName>
    <definedName name="dept" localSheetId="29">#REF!</definedName>
    <definedName name="dept" localSheetId="48">#REF!</definedName>
    <definedName name="dept" localSheetId="5">#REF!</definedName>
    <definedName name="dept" localSheetId="6">#REF!</definedName>
    <definedName name="dept">#REF!</definedName>
    <definedName name="DP_Schedule" localSheetId="24">#REF!</definedName>
    <definedName name="DP_Schedule" localSheetId="25">#REF!</definedName>
    <definedName name="DP_Schedule" localSheetId="29">#REF!</definedName>
    <definedName name="DP_Schedule" localSheetId="48">#REF!</definedName>
    <definedName name="DP_Schedule" localSheetId="5">#REF!</definedName>
    <definedName name="DP_Schedule">#REF!</definedName>
    <definedName name="Exh_II" localSheetId="24">#REF!</definedName>
    <definedName name="Exh_II" localSheetId="25">#REF!</definedName>
    <definedName name="Exh_II" localSheetId="29">#REF!</definedName>
    <definedName name="Exh_II" localSheetId="48">#REF!</definedName>
    <definedName name="Exh_II" localSheetId="5">#REF!</definedName>
    <definedName name="Exh_II">#REF!</definedName>
    <definedName name="Exh_V" localSheetId="24">#REF!</definedName>
    <definedName name="Exh_V" localSheetId="25">#REF!</definedName>
    <definedName name="Exh_V" localSheetId="29">#REF!</definedName>
    <definedName name="Exh_V" localSheetId="48">#REF!</definedName>
    <definedName name="Exh_V" localSheetId="5">#REF!</definedName>
    <definedName name="Exh_V">#REF!</definedName>
    <definedName name="Factors_I" localSheetId="24">#REF!</definedName>
    <definedName name="Factors_I" localSheetId="25">#REF!</definedName>
    <definedName name="Factors_I" localSheetId="29">#REF!</definedName>
    <definedName name="Factors_I" localSheetId="48">#REF!</definedName>
    <definedName name="Factors_I" localSheetId="5">#REF!</definedName>
    <definedName name="Factors_I" localSheetId="6">#REF!</definedName>
    <definedName name="Factors_I">#REF!</definedName>
    <definedName name="flex" localSheetId="24">#REF!</definedName>
    <definedName name="flex" localSheetId="25">#REF!</definedName>
    <definedName name="flex" localSheetId="29">#REF!</definedName>
    <definedName name="flex" localSheetId="48">#REF!</definedName>
    <definedName name="flex" localSheetId="5">#REF!</definedName>
    <definedName name="flex" localSheetId="6">#REF!</definedName>
    <definedName name="flex">#REF!</definedName>
    <definedName name="FUND_CONS" localSheetId="24">#REF!</definedName>
    <definedName name="FUND_CONS" localSheetId="25">#REF!</definedName>
    <definedName name="FUND_CONS" localSheetId="29">#REF!</definedName>
    <definedName name="FUND_CONS" localSheetId="48">#REF!</definedName>
    <definedName name="FUND_CONS" localSheetId="5">#REF!</definedName>
    <definedName name="FUND_CONS" localSheetId="6">#REF!</definedName>
    <definedName name="FUND_CONS">#REF!</definedName>
    <definedName name="HeaderRange" localSheetId="24">#REF!</definedName>
    <definedName name="HeaderRange" localSheetId="25">#REF!</definedName>
    <definedName name="HeaderRange" localSheetId="29">#REF!</definedName>
    <definedName name="HeaderRange" localSheetId="48">#REF!</definedName>
    <definedName name="HeaderRange" localSheetId="5">#REF!</definedName>
    <definedName name="HeaderRange" localSheetId="6">#REF!</definedName>
    <definedName name="HeaderRange">#REF!</definedName>
    <definedName name="Hosp_Num">'[3]Gen Info'!$B$4</definedName>
    <definedName name="Hospital_Phys" localSheetId="24">#REF!</definedName>
    <definedName name="Hospital_Phys" localSheetId="25">#REF!</definedName>
    <definedName name="Hospital_Phys" localSheetId="29">#REF!</definedName>
    <definedName name="Hospital_Phys" localSheetId="48">#REF!</definedName>
    <definedName name="Hospital_Phys" localSheetId="5">#REF!</definedName>
    <definedName name="Hospital_Phys">#REF!</definedName>
    <definedName name="inac1">[4]UMH!$A$976:$W$1022</definedName>
    <definedName name="inac4">[4]CC!$A$136:$W$140</definedName>
    <definedName name="inac7">[4]STC!$A$208:$W$212</definedName>
    <definedName name="ker" localSheetId="24">#REF!</definedName>
    <definedName name="ker" localSheetId="25">#REF!</definedName>
    <definedName name="ker" localSheetId="29">#REF!</definedName>
    <definedName name="ker" localSheetId="48">#REF!</definedName>
    <definedName name="ker" localSheetId="5">#REF!</definedName>
    <definedName name="ker" localSheetId="6">#REF!</definedName>
    <definedName name="ker">#REF!</definedName>
    <definedName name="kernan" localSheetId="24">#REF!</definedName>
    <definedName name="kernan" localSheetId="25">#REF!</definedName>
    <definedName name="kernan" localSheetId="29">#REF!</definedName>
    <definedName name="kernan" localSheetId="48">#REF!</definedName>
    <definedName name="kernan" localSheetId="5">#REF!</definedName>
    <definedName name="kernan" localSheetId="6">#REF!</definedName>
    <definedName name="kernan">#REF!</definedName>
    <definedName name="LookDate">'[3]Cvr (DON''T HIDE)'!$P$1:$Q$12</definedName>
    <definedName name="Med_Ed" localSheetId="24">#REF!</definedName>
    <definedName name="Med_Ed" localSheetId="25">#REF!</definedName>
    <definedName name="Med_Ed" localSheetId="29">#REF!</definedName>
    <definedName name="Med_Ed" localSheetId="48">#REF!</definedName>
    <definedName name="Med_Ed" localSheetId="5">#REF!</definedName>
    <definedName name="Med_Ed">#REF!</definedName>
    <definedName name="mrh" localSheetId="24">#REF!</definedName>
    <definedName name="mrh" localSheetId="25">#REF!</definedName>
    <definedName name="mrh" localSheetId="29">#REF!</definedName>
    <definedName name="mrh" localSheetId="48">#REF!</definedName>
    <definedName name="mrh" localSheetId="5">#REF!</definedName>
    <definedName name="mrh" localSheetId="6">#REF!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 localSheetId="24">'[1]p7 CONS IS'!#REF!</definedName>
    <definedName name="pan" localSheetId="25">'[1]p7 CONS IS'!#REF!</definedName>
    <definedName name="pan" localSheetId="29">'[1]p7 CONS IS'!#REF!</definedName>
    <definedName name="pan" localSheetId="48">'[1]p7 CONS IS'!#REF!</definedName>
    <definedName name="pan" localSheetId="5">'[1]p7 CONS IS'!#REF!</definedName>
    <definedName name="pan" localSheetId="6">'[1]p7 CONS IS'!#REF!</definedName>
    <definedName name="pan">'[1]p7 CONS IS'!#REF!</definedName>
    <definedName name="PANDL" localSheetId="24">'[1]p7 CONS IS'!#REF!</definedName>
    <definedName name="PANDL" localSheetId="25">'[1]p7 CONS IS'!#REF!</definedName>
    <definedName name="PANDL" localSheetId="29">'[1]p7 CONS IS'!#REF!</definedName>
    <definedName name="PANDL" localSheetId="48">'[1]p7 CONS IS'!#REF!</definedName>
    <definedName name="PANDL" localSheetId="5">'[1]p7 CONS IS'!#REF!</definedName>
    <definedName name="PANDL" localSheetId="6">'[1]p7 CONS IS'!#REF!</definedName>
    <definedName name="PANDL">'[1]p7 CONS IS'!#REF!</definedName>
    <definedName name="PLROWS" localSheetId="24">#REF!</definedName>
    <definedName name="PLROWS" localSheetId="25">#REF!</definedName>
    <definedName name="PLROWS" localSheetId="29">#REF!</definedName>
    <definedName name="PLROWS" localSheetId="48">#REF!</definedName>
    <definedName name="PLROWS" localSheetId="5">#REF!</definedName>
    <definedName name="PLROWS" localSheetId="6">#REF!</definedName>
    <definedName name="PLROWS">#REF!</definedName>
    <definedName name="_xlnm.Print_Area" localSheetId="16">'#11-St. Agnes Hospital'!$A$1:$L$156</definedName>
    <definedName name="_xlnm.Print_Area" localSheetId="17">'#12-Sinai'!$A$1:$L$156</definedName>
    <definedName name="_xlnm.Print_Area" localSheetId="18">'#13-Bon Secours'!$A$1:$L$156</definedName>
    <definedName name="_xlnm.Print_Area" localSheetId="19">'#15-MedStar Franklin Square'!$A$1:$K$157</definedName>
    <definedName name="_xlnm.Print_Area" localSheetId="20">'#16-Washington Adventist'!$A$1:$L$156</definedName>
    <definedName name="_xlnm.Print_Area" localSheetId="21">'#17-Garrett County Memorial'!$A$1:$L$156</definedName>
    <definedName name="_xlnm.Print_Area" localSheetId="23">'#19-Peninsula Regional'!$A$1:$L$146</definedName>
    <definedName name="_xlnm.Print_Area" localSheetId="7">'#1-Meritus'!$A$1:$L$156</definedName>
    <definedName name="_xlnm.Print_Area" localSheetId="51">'#2001-UM ROI'!$A$1:$L$156</definedName>
    <definedName name="_xlnm.Print_Area" localSheetId="52">'#2004-MedStar Good Samaritan'!$A$1:$L$156</definedName>
    <definedName name="_xlnm.Print_Area" localSheetId="24">'#22-Suburban'!$A$1:$K$145</definedName>
    <definedName name="_xlnm.Print_Area" localSheetId="25">'#23-AAMC'!#REF!</definedName>
    <definedName name="_xlnm.Print_Area" localSheetId="27">'#27-Western Maryland Regional'!$A$1:$L$156</definedName>
    <definedName name="_xlnm.Print_Area" localSheetId="29">'[1]p7 CONS IS'!#REF!</definedName>
    <definedName name="_xlnm.Print_Area" localSheetId="8">'#2-UMMC'!$A$1:$L$156</definedName>
    <definedName name="_xlnm.Print_Area" localSheetId="54">'#3029-Adventist Rehab'!$A$1:$L$156</definedName>
    <definedName name="_xlnm.Print_Area" localSheetId="31">'#32-Union Hospital Cecil Co'!$A$1:$L$156</definedName>
    <definedName name="_xlnm.Print_Area" localSheetId="32">'#33-Carroll Hospital Center'!$A$1:$L$156</definedName>
    <definedName name="_xlnm.Print_Area" localSheetId="34">'#35-UM Charles Regional'!$A$1:$L$156</definedName>
    <definedName name="_xlnm.Print_Area" localSheetId="36">'#38-UM Midtown'!$A$1:$L$156</definedName>
    <definedName name="_xlnm.Print_Area" localSheetId="37">'#39-Calvert Memorial'!$A$1:$K$156</definedName>
    <definedName name="_xlnm.Print_Area" localSheetId="9">'#3-Prince Georges Hospital'!$A$1:$L$156</definedName>
    <definedName name="_xlnm.Print_Area" localSheetId="55">'#4000-Sheppard Pratt'!$A$1:$L$156</definedName>
    <definedName name="_xlnm.Print_Area" localSheetId="38">'#40-Lifebridge Northwest'!$A$1:$L$156</definedName>
    <definedName name="_xlnm.Print_Area" localSheetId="39">'#43-UM BWMC'!$A$1:$L$156</definedName>
    <definedName name="_xlnm.Print_Area" localSheetId="40">'#44-GBMC'!$A$1:$L$156</definedName>
    <definedName name="_xlnm.Print_Area" localSheetId="41">'#45-McCready'!$A$1:$L$156</definedName>
    <definedName name="_xlnm.Print_Area" localSheetId="42">'#48-Howard County'!$A$1:$L$156</definedName>
    <definedName name="_xlnm.Print_Area" localSheetId="43">'#49-UM Upper Chesapeake Medical'!$A$1:$L$156</definedName>
    <definedName name="_xlnm.Print_Area" localSheetId="10">'#4-Holy Cross Hospital'!$A$1:$L$156</definedName>
    <definedName name="_xlnm.Print_Area" localSheetId="53">'#5050-Shady Grove Adventist'!$A$1:$L$156</definedName>
    <definedName name="_xlnm.Print_Area" localSheetId="44">'#51-Doctors Community Hospital'!$A$1:$L$156</definedName>
    <definedName name="_xlnm.Print_Area" localSheetId="11">'#5-Frederick Memorial Hospital'!$A$1:$L$156</definedName>
    <definedName name="_xlnm.Print_Area" localSheetId="45">'#60-Fort Washington'!$A$1:$L$156</definedName>
    <definedName name="_xlnm.Print_Area" localSheetId="46">'#61-Atlantic General'!$A$1:$L$156</definedName>
    <definedName name="_xlnm.Print_Area" localSheetId="47">'#62-MedStar Southern Maryland'!$A$1:$L$156</definedName>
    <definedName name="_xlnm.Print_Area" localSheetId="48">'[1]p7 CONS IS'!#REF!</definedName>
    <definedName name="_xlnm.Print_Area" localSheetId="49">'#64-Levindale'!$A$1:$L$156</definedName>
    <definedName name="_xlnm.Print_Area" localSheetId="50">'#65-Holy Cross Germantown'!$A$1:$L$156</definedName>
    <definedName name="_xlnm.Print_Area" localSheetId="12">'#6-UM Harford Memorial'!$A$1:$L$156</definedName>
    <definedName name="_xlnm.Print_Area" localSheetId="13">'#8-Mercy'!$A$1:$L$156</definedName>
    <definedName name="_xlnm.Print_Area" localSheetId="14">'#9-Johns Hopkins'!$A$1:$L$156</definedName>
    <definedName name="_xlnm.Print_Area" localSheetId="5">'Attachment II-All Hospitals'!$A$1:$K$55</definedName>
    <definedName name="_xlnm.Print_Area" localSheetId="3">'CB Table 1'!$A$1:$G$13</definedName>
    <definedName name="_xlnm.Print_Area" localSheetId="0">'DME_NSPI-all'!$B$2:$E$53</definedName>
    <definedName name="_xlnm.Print_Area" localSheetId="2">Figures!$A$1:$O$88</definedName>
    <definedName name="_xlnm.Print_Area" localSheetId="4">'Rate Support-Attachment I'!$A$1:$F$53</definedName>
    <definedName name="_xlnm.Print_Area">'[1]p7 CONS IS'!#REF!</definedName>
    <definedName name="_xlnm.Print_Titles" localSheetId="15">'#10-UM Shore Health Dorchester'!$1:$12</definedName>
    <definedName name="_xlnm.Print_Titles" localSheetId="30">'#30-UM Shore Health Chestertown'!$1:$12</definedName>
    <definedName name="_xlnm.Print_Titles" localSheetId="35">'#37-UM Shore Health Easton'!$1:$12</definedName>
    <definedName name="_xlnm.Print_Titles" localSheetId="6">'Attachment III-All'!$1:$1</definedName>
    <definedName name="Prior_M">'[3]Input M'!$A$4:$I$85</definedName>
    <definedName name="Prior_TB">'[3]Input TB'!$B$4:$CV$133</definedName>
    <definedName name="Psych?">'[5]Gen Info'!$B$17</definedName>
    <definedName name="PY_M">[3]PY_M!$A$4:$AP$106</definedName>
    <definedName name="Rate_Realignment" localSheetId="24">#REF!</definedName>
    <definedName name="Rate_Realignment" localSheetId="25">#REF!</definedName>
    <definedName name="Rate_Realignment" localSheetId="29">#REF!</definedName>
    <definedName name="Rate_Realignment" localSheetId="48">#REF!</definedName>
    <definedName name="Rate_Realignment" localSheetId="5">#REF!</definedName>
    <definedName name="Rate_Realignment">#REF!</definedName>
    <definedName name="RNAdj" localSheetId="24">[6]RR!#REF!</definedName>
    <definedName name="RNAdj" localSheetId="25">[6]RR!#REF!</definedName>
    <definedName name="RNAdj" localSheetId="29">[6]RR!#REF!</definedName>
    <definedName name="RNAdj" localSheetId="48">[6]RR!#REF!</definedName>
    <definedName name="RNAdj" localSheetId="5">[6]RR!#REF!</definedName>
    <definedName name="RNAdj">[6]RR!#REF!</definedName>
    <definedName name="RoutineSpread" localSheetId="24">[6]RR!#REF!</definedName>
    <definedName name="RoutineSpread" localSheetId="25">[6]RR!#REF!</definedName>
    <definedName name="RoutineSpread" localSheetId="29">[6]RR!#REF!</definedName>
    <definedName name="RoutineSpread" localSheetId="48">[6]RR!#REF!</definedName>
    <definedName name="RoutineSpread" localSheetId="5">[6]RR!#REF!</definedName>
    <definedName name="RoutineSpread">[6]RR!#REF!</definedName>
    <definedName name="RR_1" localSheetId="24">#REF!</definedName>
    <definedName name="RR_1" localSheetId="25">#REF!</definedName>
    <definedName name="RR_1" localSheetId="29">#REF!</definedName>
    <definedName name="RR_1" localSheetId="48">#REF!</definedName>
    <definedName name="RR_1" localSheetId="5">#REF!</definedName>
    <definedName name="RR_1">#REF!</definedName>
    <definedName name="RR_2" localSheetId="24">#REF!</definedName>
    <definedName name="RR_2" localSheetId="25">#REF!</definedName>
    <definedName name="RR_2" localSheetId="29">#REF!</definedName>
    <definedName name="RR_2" localSheetId="48">#REF!</definedName>
    <definedName name="RR_2" localSheetId="5">#REF!</definedName>
    <definedName name="RR_2" localSheetId="6">#REF!</definedName>
    <definedName name="RR_2">#REF!</definedName>
    <definedName name="RRAdjustor" localSheetId="24">#REF!</definedName>
    <definedName name="RRAdjustor" localSheetId="25">#REF!</definedName>
    <definedName name="RRAdjustor" localSheetId="29">#REF!</definedName>
    <definedName name="RRAdjustor" localSheetId="48">#REF!</definedName>
    <definedName name="RRAdjustor" localSheetId="5">#REF!</definedName>
    <definedName name="RRAdjustor" localSheetId="6">#REF!</definedName>
    <definedName name="RRAdjustor">#REF!</definedName>
    <definedName name="SAP_Account">'[7]SAP Summary'!$C$4:$C$59</definedName>
    <definedName name="SAP_Apr">'[7]SAP Summary'!$N$4:$N$60</definedName>
    <definedName name="SAP_Aug">'[7]SAP Summary'!$F$4:$F$60</definedName>
    <definedName name="SAP_Dec">'[7]SAP Summary'!$J$4:$J$60</definedName>
    <definedName name="SAP_Feb">'[7]SAP Summary'!$L$4:$L$60</definedName>
    <definedName name="SAP_Jan">'[7]SAP Summary'!$K$4:$K$60</definedName>
    <definedName name="SAP_Jul">'[7]SAP Summary'!$E$4:$E$60</definedName>
    <definedName name="SAP_Jun">'[7]SAP Summary'!$P$4:$P$59</definedName>
    <definedName name="SAP_Mar">'[7]SAP Summary'!$M$4:$M$60</definedName>
    <definedName name="SAP_May">'[7]SAP Summary'!$O$4:$O$60</definedName>
    <definedName name="SAP_Nov">'[7]SAP Summary'!$I$4:$I$60</definedName>
    <definedName name="SAP_Oct">'[7]SAP Summary'!$H$4:$H$60</definedName>
    <definedName name="SAP_Sep">'[7]SAP Summary'!$G$4:$G$60</definedName>
    <definedName name="SAPBEXdnldView" hidden="1">"45B0DMIFL4DG42VFK6L1FXXXP"</definedName>
    <definedName name="SAPBEXsysID" hidden="1">"BWP"</definedName>
    <definedName name="SortRange" localSheetId="24">#REF!</definedName>
    <definedName name="SortRange" localSheetId="25">#REF!</definedName>
    <definedName name="SortRange" localSheetId="29">#REF!</definedName>
    <definedName name="SortRange" localSheetId="48">#REF!</definedName>
    <definedName name="SortRange" localSheetId="5">#REF!</definedName>
    <definedName name="SortRange" localSheetId="6">#REF!</definedName>
    <definedName name="SortRange">#REF!</definedName>
    <definedName name="Supp_Birth_I">'[3]SB Input'!$A$1</definedName>
    <definedName name="Supp2" localSheetId="24">#REF!</definedName>
    <definedName name="Supp2" localSheetId="25">#REF!</definedName>
    <definedName name="Supp2" localSheetId="29">#REF!</definedName>
    <definedName name="Supp2" localSheetId="48">#REF!</definedName>
    <definedName name="Supp2" localSheetId="5">#REF!</definedName>
    <definedName name="Supp2">#REF!</definedName>
    <definedName name="Supp4" localSheetId="24">#REF!</definedName>
    <definedName name="Supp4" localSheetId="25">#REF!</definedName>
    <definedName name="Supp4" localSheetId="29">#REF!</definedName>
    <definedName name="Supp4" localSheetId="48">#REF!</definedName>
    <definedName name="Supp4" localSheetId="5">#REF!</definedName>
    <definedName name="Supp4">#REF!</definedName>
    <definedName name="SUPPLEMENTAL_SCHEDULE_6" localSheetId="24">#REF!</definedName>
    <definedName name="SUPPLEMENTAL_SCHEDULE_6" localSheetId="25">#REF!</definedName>
    <definedName name="SUPPLEMENTAL_SCHEDULE_6" localSheetId="29">#REF!</definedName>
    <definedName name="SUPPLEMENTAL_SCHEDULE_6" localSheetId="48">#REF!</definedName>
    <definedName name="SUPPLEMENTAL_SCHEDULE_6" localSheetId="5">#REF!</definedName>
    <definedName name="SUPPLEMENTAL_SCHEDULE_6">#REF!</definedName>
    <definedName name="T_Bal">'[3]Expense TB'!$B$15:$DL$146</definedName>
    <definedName name="Titles" localSheetId="24">#REF!</definedName>
    <definedName name="Titles" localSheetId="25">#REF!</definedName>
    <definedName name="Titles" localSheetId="29">#REF!</definedName>
    <definedName name="Titles" localSheetId="48">#REF!</definedName>
    <definedName name="Titles" localSheetId="5">#REF!</definedName>
    <definedName name="Titles" localSheetId="6">#REF!</definedName>
    <definedName name="Titles">#REF!</definedName>
    <definedName name="TopSection" localSheetId="24">#REF!</definedName>
    <definedName name="TopSection" localSheetId="25">#REF!</definedName>
    <definedName name="TopSection" localSheetId="29">#REF!</definedName>
    <definedName name="TopSection" localSheetId="48">#REF!</definedName>
    <definedName name="TopSection" localSheetId="5">#REF!</definedName>
    <definedName name="TopSection" localSheetId="6">#REF!</definedName>
    <definedName name="TopSection">#REF!</definedName>
    <definedName name="ttl.salaries" localSheetId="24">#REF!</definedName>
    <definedName name="ttl.salaries" localSheetId="25">#REF!</definedName>
    <definedName name="ttl.salaries" localSheetId="29">#REF!</definedName>
    <definedName name="ttl.salaries" localSheetId="48">#REF!</definedName>
    <definedName name="ttl.salaries" localSheetId="5">#REF!</definedName>
    <definedName name="ttl.salaries" localSheetId="6">#REF!</definedName>
    <definedName name="ttl.salaries">#REF!</definedName>
    <definedName name="UMMC_DEAT" localSheetId="24">'[1]p8 CONS BS'!#REF!</definedName>
    <definedName name="UMMC_DEAT" localSheetId="25">'[1]p8 CONS BS'!#REF!</definedName>
    <definedName name="UMMC_DEAT" localSheetId="29">'[1]p8 CONS BS'!#REF!</definedName>
    <definedName name="UMMC_DEAT" localSheetId="48">'[1]p8 CONS BS'!#REF!</definedName>
    <definedName name="UMMC_DEAT" localSheetId="5">'[1]p8 CONS BS'!#REF!</definedName>
    <definedName name="UMMC_DEAT" localSheetId="6">'[1]p8 CONS BS'!#REF!</definedName>
    <definedName name="UMMC_DEAT">'[1]p8 CONS BS'!#REF!</definedName>
    <definedName name="UR_Rev_I" localSheetId="24">#REF!</definedName>
    <definedName name="UR_Rev_I" localSheetId="25">#REF!</definedName>
    <definedName name="UR_Rev_I" localSheetId="29">#REF!</definedName>
    <definedName name="UR_Rev_I" localSheetId="48">#REF!</definedName>
    <definedName name="UR_Rev_I" localSheetId="5">#REF!</definedName>
    <definedName name="UR_Rev_I" localSheetId="6">#REF!</definedName>
    <definedName name="UR_Rev_I">#REF!</definedName>
    <definedName name="URS_Schedule" localSheetId="24">#REF!</definedName>
    <definedName name="URS_Schedule" localSheetId="25">#REF!</definedName>
    <definedName name="URS_Schedule" localSheetId="29">#REF!</definedName>
    <definedName name="URS_Schedule" localSheetId="48">#REF!</definedName>
    <definedName name="URS_Schedule" localSheetId="5">#REF!</definedName>
    <definedName name="URS_Schedule" localSheetId="6">#REF!</definedName>
    <definedName name="URS_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2" i="124" l="1"/>
  <c r="J152" i="124"/>
  <c r="K152" i="124"/>
  <c r="H152" i="124"/>
  <c r="K150" i="124"/>
  <c r="J150" i="124"/>
  <c r="I150" i="124"/>
  <c r="H150" i="124"/>
  <c r="L6" i="60" l="1"/>
  <c r="I152" i="100" l="1"/>
  <c r="J152" i="100"/>
  <c r="K152" i="100"/>
  <c r="H152" i="100"/>
  <c r="K150" i="100"/>
  <c r="I152" i="103" l="1"/>
  <c r="J152" i="103"/>
  <c r="K152" i="103"/>
  <c r="H152" i="103"/>
  <c r="K150" i="103"/>
  <c r="K143" i="99" l="1"/>
  <c r="H143" i="99"/>
  <c r="I152" i="85" l="1"/>
  <c r="J152" i="85"/>
  <c r="K152" i="85"/>
  <c r="H152" i="85"/>
  <c r="K150" i="85"/>
  <c r="I152" i="83"/>
  <c r="J152" i="83"/>
  <c r="K152" i="83"/>
  <c r="H152" i="83"/>
  <c r="K150" i="83"/>
  <c r="I152" i="118"/>
  <c r="J152" i="118"/>
  <c r="K152" i="118"/>
  <c r="H152" i="118"/>
  <c r="K150" i="118"/>
  <c r="I152" i="94" l="1"/>
  <c r="J152" i="94"/>
  <c r="K152" i="94"/>
  <c r="H152" i="94"/>
  <c r="K150" i="94"/>
  <c r="I152" i="90" l="1"/>
  <c r="J152" i="90"/>
  <c r="K152" i="90"/>
  <c r="H152" i="90"/>
  <c r="K150" i="90"/>
  <c r="I152" i="88" l="1"/>
  <c r="J152" i="88"/>
  <c r="K152" i="88"/>
  <c r="H152" i="88"/>
  <c r="K150" i="88"/>
  <c r="K18" i="100" l="1"/>
  <c r="K18" i="106"/>
  <c r="K18" i="103"/>
  <c r="K18" i="118"/>
  <c r="K18" i="94"/>
  <c r="K18" i="124"/>
  <c r="K18" i="90"/>
  <c r="K18" i="89"/>
  <c r="K18" i="88"/>
  <c r="K18" i="85"/>
  <c r="K18" i="83"/>
  <c r="K18" i="78"/>
  <c r="K18" i="76"/>
  <c r="C65" i="6" l="1"/>
  <c r="D65" i="6" s="1"/>
  <c r="B65" i="6"/>
  <c r="E30" i="6"/>
  <c r="D30" i="6"/>
  <c r="C30" i="6"/>
  <c r="B30" i="6"/>
  <c r="C53" i="6" l="1"/>
  <c r="C77" i="6"/>
  <c r="B77" i="6"/>
  <c r="B53" i="6"/>
  <c r="E53" i="4"/>
  <c r="C53" i="127"/>
  <c r="J150" i="105"/>
  <c r="I150" i="105"/>
  <c r="H150" i="105"/>
  <c r="H149" i="105"/>
  <c r="K148" i="105"/>
  <c r="G147" i="105"/>
  <c r="K145" i="105"/>
  <c r="I144" i="105"/>
  <c r="G143" i="105"/>
  <c r="K141" i="105"/>
  <c r="J137" i="105"/>
  <c r="J149" i="105" s="1"/>
  <c r="I137" i="105"/>
  <c r="I149" i="105" s="1"/>
  <c r="H137" i="105"/>
  <c r="G137" i="105"/>
  <c r="G149" i="105" s="1"/>
  <c r="F137" i="105"/>
  <c r="F149" i="105" s="1"/>
  <c r="K135" i="105"/>
  <c r="K134" i="105"/>
  <c r="K133" i="105"/>
  <c r="K132" i="105"/>
  <c r="K131" i="105"/>
  <c r="K137" i="105" s="1"/>
  <c r="K149" i="105" s="1"/>
  <c r="K108" i="105"/>
  <c r="K147" i="105" s="1"/>
  <c r="J108" i="105"/>
  <c r="J147" i="105" s="1"/>
  <c r="I108" i="105"/>
  <c r="I147" i="105" s="1"/>
  <c r="H108" i="105"/>
  <c r="H147" i="105" s="1"/>
  <c r="G108" i="105"/>
  <c r="F108" i="105"/>
  <c r="F147" i="105" s="1"/>
  <c r="K98" i="105"/>
  <c r="K146" i="105" s="1"/>
  <c r="J98" i="105"/>
  <c r="J146" i="105" s="1"/>
  <c r="I98" i="105"/>
  <c r="I146" i="105" s="1"/>
  <c r="H98" i="105"/>
  <c r="H146" i="105" s="1"/>
  <c r="G98" i="105"/>
  <c r="G146" i="105" s="1"/>
  <c r="F98" i="105"/>
  <c r="F146" i="105" s="1"/>
  <c r="K82" i="105"/>
  <c r="J82" i="105"/>
  <c r="J145" i="105" s="1"/>
  <c r="I82" i="105"/>
  <c r="I145" i="105" s="1"/>
  <c r="H82" i="105"/>
  <c r="H145" i="105" s="1"/>
  <c r="G82" i="105"/>
  <c r="G145" i="105" s="1"/>
  <c r="F82" i="105"/>
  <c r="F145" i="105" s="1"/>
  <c r="K74" i="105"/>
  <c r="K144" i="105" s="1"/>
  <c r="J74" i="105"/>
  <c r="J144" i="105" s="1"/>
  <c r="I74" i="105"/>
  <c r="H74" i="105"/>
  <c r="H144" i="105" s="1"/>
  <c r="G74" i="105"/>
  <c r="G144" i="105" s="1"/>
  <c r="F74" i="105"/>
  <c r="F144" i="105" s="1"/>
  <c r="K64" i="105"/>
  <c r="K143" i="105" s="1"/>
  <c r="J64" i="105"/>
  <c r="J143" i="105" s="1"/>
  <c r="I64" i="105"/>
  <c r="I143" i="105" s="1"/>
  <c r="H64" i="105"/>
  <c r="H143" i="105" s="1"/>
  <c r="G64" i="105"/>
  <c r="F64" i="105"/>
  <c r="F143" i="105" s="1"/>
  <c r="K49" i="105"/>
  <c r="K142" i="105" s="1"/>
  <c r="J49" i="105"/>
  <c r="J142" i="105" s="1"/>
  <c r="I49" i="105"/>
  <c r="I142" i="105" s="1"/>
  <c r="H49" i="105"/>
  <c r="H142" i="105" s="1"/>
  <c r="G49" i="105"/>
  <c r="G142" i="105" s="1"/>
  <c r="F49" i="105"/>
  <c r="F142" i="105" s="1"/>
  <c r="K36" i="105"/>
  <c r="J36" i="105"/>
  <c r="J141" i="105" s="1"/>
  <c r="I36" i="105"/>
  <c r="I141" i="105" s="1"/>
  <c r="H36" i="105"/>
  <c r="H141" i="105" s="1"/>
  <c r="G36" i="105"/>
  <c r="G141" i="105" s="1"/>
  <c r="F36" i="105"/>
  <c r="F141" i="105" s="1"/>
  <c r="K18" i="105"/>
  <c r="K150" i="105" s="1"/>
  <c r="F152" i="105" l="1"/>
  <c r="G152" i="105"/>
  <c r="I152" i="105"/>
  <c r="H152" i="105"/>
  <c r="K152" i="105"/>
  <c r="J152" i="105"/>
  <c r="F155" i="105" l="1"/>
  <c r="F154" i="105"/>
  <c r="J150" i="119" l="1"/>
  <c r="I150" i="119"/>
  <c r="H150" i="119"/>
  <c r="H149" i="119"/>
  <c r="K148" i="119"/>
  <c r="J144" i="119"/>
  <c r="I144" i="119"/>
  <c r="H143" i="119"/>
  <c r="G143" i="119"/>
  <c r="F142" i="119"/>
  <c r="J137" i="119"/>
  <c r="J149" i="119" s="1"/>
  <c r="I137" i="119"/>
  <c r="I149" i="119" s="1"/>
  <c r="H137" i="119"/>
  <c r="G137" i="119"/>
  <c r="G149" i="119" s="1"/>
  <c r="F137" i="119"/>
  <c r="F149" i="119" s="1"/>
  <c r="K135" i="119"/>
  <c r="K134" i="119"/>
  <c r="K133" i="119"/>
  <c r="K132" i="119"/>
  <c r="K131" i="119"/>
  <c r="K137" i="119" s="1"/>
  <c r="K149" i="119" s="1"/>
  <c r="F119" i="119"/>
  <c r="F123" i="119" s="1"/>
  <c r="F127" i="119" s="1"/>
  <c r="J108" i="119"/>
  <c r="J147" i="119" s="1"/>
  <c r="H108" i="119"/>
  <c r="H147" i="119" s="1"/>
  <c r="G108" i="119"/>
  <c r="G147" i="119" s="1"/>
  <c r="F108" i="119"/>
  <c r="F147" i="119" s="1"/>
  <c r="I106" i="119"/>
  <c r="K106" i="119" s="1"/>
  <c r="I105" i="119"/>
  <c r="K105" i="119" s="1"/>
  <c r="I104" i="119"/>
  <c r="I108" i="119" s="1"/>
  <c r="I147" i="119" s="1"/>
  <c r="K103" i="119"/>
  <c r="K102" i="119"/>
  <c r="J98" i="119"/>
  <c r="J146" i="119" s="1"/>
  <c r="H98" i="119"/>
  <c r="H146" i="119" s="1"/>
  <c r="G98" i="119"/>
  <c r="G146" i="119" s="1"/>
  <c r="F98" i="119"/>
  <c r="F146" i="119" s="1"/>
  <c r="K96" i="119"/>
  <c r="I96" i="119"/>
  <c r="I95" i="119"/>
  <c r="K95" i="119" s="1"/>
  <c r="I94" i="119"/>
  <c r="K94" i="119" s="1"/>
  <c r="I93" i="119"/>
  <c r="K93" i="119" s="1"/>
  <c r="K92" i="119"/>
  <c r="K91" i="119"/>
  <c r="I90" i="119"/>
  <c r="K90" i="119" s="1"/>
  <c r="I89" i="119"/>
  <c r="K89" i="119" s="1"/>
  <c r="K88" i="119"/>
  <c r="I87" i="119"/>
  <c r="K87" i="119" s="1"/>
  <c r="K86" i="119"/>
  <c r="I86" i="119"/>
  <c r="I98" i="119" s="1"/>
  <c r="I146" i="119" s="1"/>
  <c r="J82" i="119"/>
  <c r="J145" i="119" s="1"/>
  <c r="I82" i="119"/>
  <c r="I145" i="119" s="1"/>
  <c r="H82" i="119"/>
  <c r="H145" i="119" s="1"/>
  <c r="G82" i="119"/>
  <c r="G145" i="119" s="1"/>
  <c r="F82" i="119"/>
  <c r="F145" i="119" s="1"/>
  <c r="K80" i="119"/>
  <c r="K79" i="119"/>
  <c r="K78" i="119"/>
  <c r="K77" i="119"/>
  <c r="K82" i="119" s="1"/>
  <c r="K145" i="119" s="1"/>
  <c r="J74" i="119"/>
  <c r="I74" i="119"/>
  <c r="H74" i="119"/>
  <c r="H144" i="119" s="1"/>
  <c r="G74" i="119"/>
  <c r="G144" i="119" s="1"/>
  <c r="F74" i="119"/>
  <c r="F144" i="119" s="1"/>
  <c r="K72" i="119"/>
  <c r="K71" i="119"/>
  <c r="K70" i="119"/>
  <c r="K69" i="119"/>
  <c r="K68" i="119"/>
  <c r="K74" i="119" s="1"/>
  <c r="K144" i="119" s="1"/>
  <c r="J64" i="119"/>
  <c r="J143" i="119" s="1"/>
  <c r="I64" i="119"/>
  <c r="I143" i="119" s="1"/>
  <c r="H64" i="119"/>
  <c r="G64" i="119"/>
  <c r="F64" i="119"/>
  <c r="F143" i="119" s="1"/>
  <c r="K62" i="119"/>
  <c r="K61" i="119"/>
  <c r="K60" i="119"/>
  <c r="K64" i="119" s="1"/>
  <c r="K143" i="119" s="1"/>
  <c r="K59" i="119"/>
  <c r="K58" i="119"/>
  <c r="K57" i="119"/>
  <c r="K56" i="119"/>
  <c r="K55" i="119"/>
  <c r="K54" i="119"/>
  <c r="K53" i="119"/>
  <c r="J49" i="119"/>
  <c r="J142" i="119" s="1"/>
  <c r="I49" i="119"/>
  <c r="I142" i="119" s="1"/>
  <c r="H49" i="119"/>
  <c r="H142" i="119" s="1"/>
  <c r="G49" i="119"/>
  <c r="G142" i="119" s="1"/>
  <c r="F49" i="119"/>
  <c r="K47" i="119"/>
  <c r="K46" i="119"/>
  <c r="K45" i="119"/>
  <c r="K49" i="119" s="1"/>
  <c r="K142" i="119" s="1"/>
  <c r="K44" i="119"/>
  <c r="K43" i="119"/>
  <c r="K42" i="119"/>
  <c r="K41" i="119"/>
  <c r="K40" i="119"/>
  <c r="J36" i="119"/>
  <c r="J141" i="119" s="1"/>
  <c r="H36" i="119"/>
  <c r="H141" i="119" s="1"/>
  <c r="H152" i="119" s="1"/>
  <c r="G36" i="119"/>
  <c r="G141" i="119" s="1"/>
  <c r="G152" i="119" s="1"/>
  <c r="F36" i="119"/>
  <c r="F141" i="119" s="1"/>
  <c r="I34" i="119"/>
  <c r="K34" i="119" s="1"/>
  <c r="I33" i="119"/>
  <c r="K33" i="119" s="1"/>
  <c r="K32" i="119"/>
  <c r="I32" i="119"/>
  <c r="I31" i="119"/>
  <c r="K31" i="119" s="1"/>
  <c r="I30" i="119"/>
  <c r="K30" i="119" s="1"/>
  <c r="K29" i="119"/>
  <c r="I28" i="119"/>
  <c r="K28" i="119" s="1"/>
  <c r="I27" i="119"/>
  <c r="K27" i="119" s="1"/>
  <c r="K26" i="119"/>
  <c r="I26" i="119"/>
  <c r="K25" i="119"/>
  <c r="K24" i="119"/>
  <c r="I23" i="119"/>
  <c r="K23" i="119" s="1"/>
  <c r="K22" i="119"/>
  <c r="K21" i="119"/>
  <c r="K18" i="119"/>
  <c r="K150" i="119" s="1"/>
  <c r="J152" i="119" l="1"/>
  <c r="K98" i="119"/>
  <c r="K146" i="119" s="1"/>
  <c r="K36" i="119"/>
  <c r="K141" i="119" s="1"/>
  <c r="F152" i="119"/>
  <c r="I36" i="119"/>
  <c r="I141" i="119" s="1"/>
  <c r="I152" i="119" s="1"/>
  <c r="K104" i="119"/>
  <c r="K108" i="119" s="1"/>
  <c r="K147" i="119" s="1"/>
  <c r="K152" i="119" l="1"/>
  <c r="F155" i="119" l="1"/>
  <c r="F154" i="119"/>
  <c r="J150" i="114" l="1"/>
  <c r="I150" i="114"/>
  <c r="H150" i="114"/>
  <c r="H149" i="114"/>
  <c r="K148" i="114"/>
  <c r="I144" i="114"/>
  <c r="G143" i="114"/>
  <c r="J137" i="114"/>
  <c r="J149" i="114" s="1"/>
  <c r="I137" i="114"/>
  <c r="I149" i="114" s="1"/>
  <c r="H137" i="114"/>
  <c r="G137" i="114"/>
  <c r="G149" i="114" s="1"/>
  <c r="F137" i="114"/>
  <c r="F149" i="114" s="1"/>
  <c r="K135" i="114"/>
  <c r="K134" i="114"/>
  <c r="K133" i="114"/>
  <c r="K132" i="114"/>
  <c r="K131" i="114"/>
  <c r="K137" i="114" s="1"/>
  <c r="K149" i="114" s="1"/>
  <c r="F119" i="114"/>
  <c r="F123" i="114" s="1"/>
  <c r="F127" i="114" s="1"/>
  <c r="J108" i="114"/>
  <c r="J147" i="114" s="1"/>
  <c r="H108" i="114"/>
  <c r="H147" i="114" s="1"/>
  <c r="G108" i="114"/>
  <c r="G147" i="114" s="1"/>
  <c r="F108" i="114"/>
  <c r="F147" i="114" s="1"/>
  <c r="I106" i="114"/>
  <c r="K106" i="114" s="1"/>
  <c r="I105" i="114"/>
  <c r="K105" i="114" s="1"/>
  <c r="I104" i="114"/>
  <c r="K104" i="114" s="1"/>
  <c r="K103" i="114"/>
  <c r="I103" i="114"/>
  <c r="I102" i="114"/>
  <c r="K102" i="114" s="1"/>
  <c r="J98" i="114"/>
  <c r="J146" i="114" s="1"/>
  <c r="H98" i="114"/>
  <c r="H146" i="114" s="1"/>
  <c r="G98" i="114"/>
  <c r="G146" i="114" s="1"/>
  <c r="F98" i="114"/>
  <c r="F146" i="114" s="1"/>
  <c r="I96" i="114"/>
  <c r="K96" i="114" s="1"/>
  <c r="I95" i="114"/>
  <c r="K95" i="114" s="1"/>
  <c r="I94" i="114"/>
  <c r="K94" i="114" s="1"/>
  <c r="K93" i="114"/>
  <c r="I93" i="114"/>
  <c r="I92" i="114"/>
  <c r="K92" i="114" s="1"/>
  <c r="I91" i="114"/>
  <c r="K91" i="114" s="1"/>
  <c r="I90" i="114"/>
  <c r="K90" i="114" s="1"/>
  <c r="K89" i="114"/>
  <c r="I89" i="114"/>
  <c r="I88" i="114"/>
  <c r="K88" i="114" s="1"/>
  <c r="I87" i="114"/>
  <c r="K87" i="114" s="1"/>
  <c r="I86" i="114"/>
  <c r="I98" i="114" s="1"/>
  <c r="I146" i="114" s="1"/>
  <c r="J82" i="114"/>
  <c r="J145" i="114" s="1"/>
  <c r="I82" i="114"/>
  <c r="I145" i="114" s="1"/>
  <c r="H82" i="114"/>
  <c r="H145" i="114" s="1"/>
  <c r="G82" i="114"/>
  <c r="G145" i="114" s="1"/>
  <c r="F82" i="114"/>
  <c r="F145" i="114" s="1"/>
  <c r="K80" i="114"/>
  <c r="K79" i="114"/>
  <c r="K78" i="114"/>
  <c r="K82" i="114" s="1"/>
  <c r="K145" i="114" s="1"/>
  <c r="K77" i="114"/>
  <c r="J74" i="114"/>
  <c r="J144" i="114" s="1"/>
  <c r="I74" i="114"/>
  <c r="H74" i="114"/>
  <c r="H144" i="114" s="1"/>
  <c r="G74" i="114"/>
  <c r="G144" i="114" s="1"/>
  <c r="F74" i="114"/>
  <c r="F144" i="114" s="1"/>
  <c r="K72" i="114"/>
  <c r="K71" i="114"/>
  <c r="K70" i="114"/>
  <c r="K69" i="114"/>
  <c r="K68" i="114"/>
  <c r="K74" i="114" s="1"/>
  <c r="K144" i="114" s="1"/>
  <c r="J64" i="114"/>
  <c r="J143" i="114" s="1"/>
  <c r="I64" i="114"/>
  <c r="I143" i="114" s="1"/>
  <c r="H64" i="114"/>
  <c r="H143" i="114" s="1"/>
  <c r="G64" i="114"/>
  <c r="F64" i="114"/>
  <c r="F143" i="114" s="1"/>
  <c r="K62" i="114"/>
  <c r="K61" i="114"/>
  <c r="K60" i="114"/>
  <c r="K59" i="114"/>
  <c r="K58" i="114"/>
  <c r="K57" i="114"/>
  <c r="K56" i="114"/>
  <c r="K55" i="114"/>
  <c r="K54" i="114"/>
  <c r="K53" i="114"/>
  <c r="K64" i="114" s="1"/>
  <c r="K143" i="114" s="1"/>
  <c r="J49" i="114"/>
  <c r="J142" i="114" s="1"/>
  <c r="I49" i="114"/>
  <c r="I142" i="114" s="1"/>
  <c r="H49" i="114"/>
  <c r="H142" i="114" s="1"/>
  <c r="G49" i="114"/>
  <c r="G142" i="114" s="1"/>
  <c r="F49" i="114"/>
  <c r="F142" i="114" s="1"/>
  <c r="K47" i="114"/>
  <c r="K46" i="114"/>
  <c r="K45" i="114"/>
  <c r="K44" i="114"/>
  <c r="K43" i="114"/>
  <c r="K42" i="114"/>
  <c r="K41" i="114"/>
  <c r="K40" i="114"/>
  <c r="K49" i="114" s="1"/>
  <c r="K142" i="114" s="1"/>
  <c r="J36" i="114"/>
  <c r="J141" i="114" s="1"/>
  <c r="H36" i="114"/>
  <c r="H141" i="114" s="1"/>
  <c r="G36" i="114"/>
  <c r="G141" i="114" s="1"/>
  <c r="G152" i="114" s="1"/>
  <c r="F36" i="114"/>
  <c r="F141" i="114" s="1"/>
  <c r="F152" i="114" s="1"/>
  <c r="I34" i="114"/>
  <c r="K34" i="114" s="1"/>
  <c r="I33" i="114"/>
  <c r="K33" i="114" s="1"/>
  <c r="I32" i="114"/>
  <c r="K32" i="114" s="1"/>
  <c r="I31" i="114"/>
  <c r="K31" i="114" s="1"/>
  <c r="I30" i="114"/>
  <c r="K30" i="114" s="1"/>
  <c r="K29" i="114"/>
  <c r="K28" i="114"/>
  <c r="I28" i="114"/>
  <c r="I27" i="114"/>
  <c r="K27" i="114" s="1"/>
  <c r="K26" i="114"/>
  <c r="I26" i="114"/>
  <c r="I25" i="114"/>
  <c r="K25" i="114" s="1"/>
  <c r="K24" i="114"/>
  <c r="I24" i="114"/>
  <c r="I23" i="114"/>
  <c r="K23" i="114" s="1"/>
  <c r="K22" i="114"/>
  <c r="I22" i="114"/>
  <c r="I21" i="114"/>
  <c r="K21" i="114" s="1"/>
  <c r="K18" i="114"/>
  <c r="K150" i="114" s="1"/>
  <c r="H152" i="114" l="1"/>
  <c r="J152" i="114"/>
  <c r="K108" i="114"/>
  <c r="K147" i="114" s="1"/>
  <c r="K36" i="114"/>
  <c r="K141" i="114" s="1"/>
  <c r="K152" i="114" s="1"/>
  <c r="K86" i="114"/>
  <c r="K98" i="114" s="1"/>
  <c r="K146" i="114" s="1"/>
  <c r="I108" i="114"/>
  <c r="I147" i="114" s="1"/>
  <c r="I36" i="114"/>
  <c r="I141" i="114" s="1"/>
  <c r="I152" i="114" s="1"/>
  <c r="F155" i="114" l="1"/>
  <c r="F154" i="114"/>
  <c r="J150" i="72" l="1"/>
  <c r="I150" i="72"/>
  <c r="H150" i="72"/>
  <c r="I149" i="72"/>
  <c r="K148" i="72"/>
  <c r="H147" i="72"/>
  <c r="J144" i="72"/>
  <c r="H143" i="72"/>
  <c r="G142" i="72"/>
  <c r="F142" i="72"/>
  <c r="J137" i="72"/>
  <c r="J149" i="72" s="1"/>
  <c r="I137" i="72"/>
  <c r="H137" i="72"/>
  <c r="H149" i="72" s="1"/>
  <c r="G137" i="72"/>
  <c r="G149" i="72" s="1"/>
  <c r="F137" i="72"/>
  <c r="F149" i="72" s="1"/>
  <c r="K135" i="72"/>
  <c r="K134" i="72"/>
  <c r="K133" i="72"/>
  <c r="K132" i="72"/>
  <c r="K137" i="72" s="1"/>
  <c r="K149" i="72" s="1"/>
  <c r="K131" i="72"/>
  <c r="F119" i="72"/>
  <c r="J108" i="72"/>
  <c r="J147" i="72" s="1"/>
  <c r="H108" i="72"/>
  <c r="G108" i="72"/>
  <c r="G147" i="72" s="1"/>
  <c r="F108" i="72"/>
  <c r="F147" i="72" s="1"/>
  <c r="K106" i="72"/>
  <c r="I106" i="72"/>
  <c r="K105" i="72"/>
  <c r="I105" i="72"/>
  <c r="K104" i="72"/>
  <c r="I104" i="72"/>
  <c r="I103" i="72"/>
  <c r="I108" i="72" s="1"/>
  <c r="I147" i="72" s="1"/>
  <c r="K102" i="72"/>
  <c r="I102" i="72"/>
  <c r="J98" i="72"/>
  <c r="J146" i="72" s="1"/>
  <c r="H98" i="72"/>
  <c r="H146" i="72" s="1"/>
  <c r="G98" i="72"/>
  <c r="G146" i="72" s="1"/>
  <c r="F98" i="72"/>
  <c r="F146" i="72" s="1"/>
  <c r="K96" i="72"/>
  <c r="I96" i="72"/>
  <c r="K95" i="72"/>
  <c r="I95" i="72"/>
  <c r="K94" i="72"/>
  <c r="I94" i="72"/>
  <c r="I93" i="72"/>
  <c r="K93" i="72" s="1"/>
  <c r="K92" i="72"/>
  <c r="I92" i="72"/>
  <c r="K91" i="72"/>
  <c r="I91" i="72"/>
  <c r="K90" i="72"/>
  <c r="I90" i="72"/>
  <c r="I89" i="72"/>
  <c r="I98" i="72" s="1"/>
  <c r="I146" i="72" s="1"/>
  <c r="K88" i="72"/>
  <c r="I88" i="72"/>
  <c r="K87" i="72"/>
  <c r="I87" i="72"/>
  <c r="K86" i="72"/>
  <c r="I86" i="72"/>
  <c r="J82" i="72"/>
  <c r="J145" i="72" s="1"/>
  <c r="H82" i="72"/>
  <c r="H145" i="72" s="1"/>
  <c r="G82" i="72"/>
  <c r="G145" i="72" s="1"/>
  <c r="F82" i="72"/>
  <c r="F145" i="72" s="1"/>
  <c r="K80" i="72"/>
  <c r="I80" i="72"/>
  <c r="I79" i="72"/>
  <c r="K79" i="72" s="1"/>
  <c r="K82" i="72" s="1"/>
  <c r="K145" i="72" s="1"/>
  <c r="K78" i="72"/>
  <c r="I78" i="72"/>
  <c r="K77" i="72"/>
  <c r="I77" i="72"/>
  <c r="J74" i="72"/>
  <c r="I74" i="72"/>
  <c r="I144" i="72" s="1"/>
  <c r="H74" i="72"/>
  <c r="H144" i="72" s="1"/>
  <c r="G74" i="72"/>
  <c r="G144" i="72" s="1"/>
  <c r="F74" i="72"/>
  <c r="F144" i="72" s="1"/>
  <c r="K72" i="72"/>
  <c r="K71" i="72"/>
  <c r="K70" i="72"/>
  <c r="K69" i="72"/>
  <c r="K68" i="72"/>
  <c r="K74" i="72" s="1"/>
  <c r="K144" i="72" s="1"/>
  <c r="H64" i="72"/>
  <c r="G64" i="72"/>
  <c r="G143" i="72" s="1"/>
  <c r="F64" i="72"/>
  <c r="F143" i="72" s="1"/>
  <c r="J62" i="72"/>
  <c r="J64" i="72" s="1"/>
  <c r="J143" i="72" s="1"/>
  <c r="I62" i="72"/>
  <c r="H62" i="72"/>
  <c r="K62" i="72" s="1"/>
  <c r="F62" i="72"/>
  <c r="K61" i="72"/>
  <c r="I61" i="72"/>
  <c r="K60" i="72"/>
  <c r="I60" i="72"/>
  <c r="I59" i="72"/>
  <c r="K59" i="72" s="1"/>
  <c r="K58" i="72"/>
  <c r="I58" i="72"/>
  <c r="K57" i="72"/>
  <c r="I57" i="72"/>
  <c r="K56" i="72"/>
  <c r="I56" i="72"/>
  <c r="I55" i="72"/>
  <c r="K55" i="72" s="1"/>
  <c r="K54" i="72"/>
  <c r="I54" i="72"/>
  <c r="K53" i="72"/>
  <c r="I53" i="72"/>
  <c r="I64" i="72" s="1"/>
  <c r="I143" i="72" s="1"/>
  <c r="J49" i="72"/>
  <c r="J142" i="72" s="1"/>
  <c r="H49" i="72"/>
  <c r="H142" i="72" s="1"/>
  <c r="G49" i="72"/>
  <c r="F49" i="72"/>
  <c r="K47" i="72"/>
  <c r="I47" i="72"/>
  <c r="K46" i="72"/>
  <c r="I46" i="72"/>
  <c r="I45" i="72"/>
  <c r="K45" i="72" s="1"/>
  <c r="K44" i="72"/>
  <c r="I44" i="72"/>
  <c r="K43" i="72"/>
  <c r="I43" i="72"/>
  <c r="K42" i="72"/>
  <c r="I42" i="72"/>
  <c r="I41" i="72"/>
  <c r="K41" i="72" s="1"/>
  <c r="K40" i="72"/>
  <c r="I40" i="72"/>
  <c r="J36" i="72"/>
  <c r="J141" i="72" s="1"/>
  <c r="H36" i="72"/>
  <c r="H141" i="72" s="1"/>
  <c r="G36" i="72"/>
  <c r="G141" i="72" s="1"/>
  <c r="F36" i="72"/>
  <c r="F141" i="72" s="1"/>
  <c r="K34" i="72"/>
  <c r="I34" i="72"/>
  <c r="K33" i="72"/>
  <c r="I33" i="72"/>
  <c r="K32" i="72"/>
  <c r="I32" i="72"/>
  <c r="I31" i="72"/>
  <c r="K31" i="72" s="1"/>
  <c r="K30" i="72"/>
  <c r="I30" i="72"/>
  <c r="K29" i="72"/>
  <c r="I29" i="72"/>
  <c r="K28" i="72"/>
  <c r="I28" i="72"/>
  <c r="I27" i="72"/>
  <c r="K27" i="72" s="1"/>
  <c r="K26" i="72"/>
  <c r="I26" i="72"/>
  <c r="K25" i="72"/>
  <c r="I25" i="72"/>
  <c r="K24" i="72"/>
  <c r="I24" i="72"/>
  <c r="I23" i="72"/>
  <c r="I36" i="72" s="1"/>
  <c r="I141" i="72" s="1"/>
  <c r="K22" i="72"/>
  <c r="I22" i="72"/>
  <c r="K21" i="72"/>
  <c r="I21" i="72"/>
  <c r="K18" i="72"/>
  <c r="K150" i="72" s="1"/>
  <c r="F152" i="72" l="1"/>
  <c r="G152" i="72"/>
  <c r="H152" i="72"/>
  <c r="K64" i="72"/>
  <c r="K143" i="72" s="1"/>
  <c r="K49" i="72"/>
  <c r="K142" i="72" s="1"/>
  <c r="I152" i="72"/>
  <c r="J152" i="72"/>
  <c r="I49" i="72"/>
  <c r="I142" i="72" s="1"/>
  <c r="I82" i="72"/>
  <c r="I145" i="72" s="1"/>
  <c r="K89" i="72"/>
  <c r="K98" i="72" s="1"/>
  <c r="K146" i="72" s="1"/>
  <c r="K103" i="72"/>
  <c r="K108" i="72" s="1"/>
  <c r="K147" i="72" s="1"/>
  <c r="K23" i="72"/>
  <c r="K36" i="72" s="1"/>
  <c r="K141" i="72" s="1"/>
  <c r="K152" i="72" s="1"/>
  <c r="F155" i="72" l="1"/>
  <c r="F154" i="72"/>
  <c r="K150" i="106" l="1"/>
  <c r="J150" i="106"/>
  <c r="I150" i="106"/>
  <c r="H150" i="106"/>
  <c r="G149" i="106"/>
  <c r="K148" i="106"/>
  <c r="J147" i="106"/>
  <c r="G147" i="106"/>
  <c r="F147" i="106"/>
  <c r="H146" i="106"/>
  <c r="J145" i="106"/>
  <c r="I144" i="106"/>
  <c r="H144" i="106"/>
  <c r="G143" i="106"/>
  <c r="F143" i="106"/>
  <c r="H142" i="106"/>
  <c r="J141" i="106"/>
  <c r="J152" i="106" s="1"/>
  <c r="F141" i="106"/>
  <c r="J137" i="106"/>
  <c r="J149" i="106" s="1"/>
  <c r="I137" i="106"/>
  <c r="I149" i="106" s="1"/>
  <c r="H137" i="106"/>
  <c r="H149" i="106" s="1"/>
  <c r="G137" i="106"/>
  <c r="F137" i="106"/>
  <c r="F149" i="106" s="1"/>
  <c r="K135" i="106"/>
  <c r="K134" i="106"/>
  <c r="K133" i="106"/>
  <c r="K132" i="106"/>
  <c r="K131" i="106"/>
  <c r="K137" i="106" s="1"/>
  <c r="K149" i="106" s="1"/>
  <c r="F119" i="106"/>
  <c r="J108" i="106"/>
  <c r="H108" i="106"/>
  <c r="H147" i="106" s="1"/>
  <c r="G108" i="106"/>
  <c r="F108" i="106"/>
  <c r="I106" i="106"/>
  <c r="I108" i="106" s="1"/>
  <c r="I147" i="106" s="1"/>
  <c r="I105" i="106"/>
  <c r="K105" i="106" s="1"/>
  <c r="K104" i="106"/>
  <c r="K103" i="106"/>
  <c r="K102" i="106"/>
  <c r="J98" i="106"/>
  <c r="J146" i="106" s="1"/>
  <c r="I98" i="106"/>
  <c r="I146" i="106" s="1"/>
  <c r="H98" i="106"/>
  <c r="G98" i="106"/>
  <c r="G146" i="106" s="1"/>
  <c r="F98" i="106"/>
  <c r="F146" i="106" s="1"/>
  <c r="K96" i="106"/>
  <c r="I96" i="106"/>
  <c r="I95" i="106"/>
  <c r="K95" i="106" s="1"/>
  <c r="K94" i="106"/>
  <c r="I94" i="106"/>
  <c r="I93" i="106"/>
  <c r="K93" i="106" s="1"/>
  <c r="K92" i="106"/>
  <c r="I92" i="106"/>
  <c r="I91" i="106"/>
  <c r="K91" i="106" s="1"/>
  <c r="K90" i="106"/>
  <c r="I90" i="106"/>
  <c r="I89" i="106"/>
  <c r="K89" i="106" s="1"/>
  <c r="K88" i="106"/>
  <c r="I88" i="106"/>
  <c r="I87" i="106"/>
  <c r="K87" i="106" s="1"/>
  <c r="K86" i="106"/>
  <c r="I86" i="106"/>
  <c r="J82" i="106"/>
  <c r="I82" i="106"/>
  <c r="I145" i="106" s="1"/>
  <c r="H82" i="106"/>
  <c r="H145" i="106" s="1"/>
  <c r="G82" i="106"/>
  <c r="G145" i="106" s="1"/>
  <c r="F82" i="106"/>
  <c r="F145" i="106" s="1"/>
  <c r="K80" i="106"/>
  <c r="K79" i="106"/>
  <c r="K78" i="106"/>
  <c r="K77" i="106"/>
  <c r="K82" i="106" s="1"/>
  <c r="K145" i="106" s="1"/>
  <c r="J74" i="106"/>
  <c r="J144" i="106" s="1"/>
  <c r="I74" i="106"/>
  <c r="H74" i="106"/>
  <c r="G74" i="106"/>
  <c r="G144" i="106" s="1"/>
  <c r="F74" i="106"/>
  <c r="F144" i="106" s="1"/>
  <c r="K72" i="106"/>
  <c r="K71" i="106"/>
  <c r="K70" i="106"/>
  <c r="K74" i="106" s="1"/>
  <c r="K144" i="106" s="1"/>
  <c r="K69" i="106"/>
  <c r="K68" i="106"/>
  <c r="J64" i="106"/>
  <c r="J143" i="106" s="1"/>
  <c r="I64" i="106"/>
  <c r="I143" i="106" s="1"/>
  <c r="H64" i="106"/>
  <c r="H143" i="106" s="1"/>
  <c r="G64" i="106"/>
  <c r="F64" i="106"/>
  <c r="K62" i="106"/>
  <c r="K61" i="106"/>
  <c r="K60" i="106"/>
  <c r="K59" i="106"/>
  <c r="K58" i="106"/>
  <c r="K57" i="106"/>
  <c r="K56" i="106"/>
  <c r="K55" i="106"/>
  <c r="K64" i="106" s="1"/>
  <c r="K143" i="106" s="1"/>
  <c r="K54" i="106"/>
  <c r="K53" i="106"/>
  <c r="J49" i="106"/>
  <c r="J142" i="106" s="1"/>
  <c r="I49" i="106"/>
  <c r="I142" i="106" s="1"/>
  <c r="H49" i="106"/>
  <c r="G49" i="106"/>
  <c r="G142" i="106" s="1"/>
  <c r="F49" i="106"/>
  <c r="F142" i="106" s="1"/>
  <c r="K47" i="106"/>
  <c r="K46" i="106"/>
  <c r="K45" i="106"/>
  <c r="K44" i="106"/>
  <c r="K43" i="106"/>
  <c r="K42" i="106"/>
  <c r="K41" i="106"/>
  <c r="K40" i="106"/>
  <c r="K49" i="106" s="1"/>
  <c r="K142" i="106" s="1"/>
  <c r="J36" i="106"/>
  <c r="H36" i="106"/>
  <c r="H141" i="106" s="1"/>
  <c r="H152" i="106" s="1"/>
  <c r="G36" i="106"/>
  <c r="G141" i="106" s="1"/>
  <c r="F36" i="106"/>
  <c r="I34" i="106"/>
  <c r="K34" i="106" s="1"/>
  <c r="I33" i="106"/>
  <c r="K33" i="106" s="1"/>
  <c r="I32" i="106"/>
  <c r="K32" i="106" s="1"/>
  <c r="I31" i="106"/>
  <c r="K31" i="106" s="1"/>
  <c r="I30" i="106"/>
  <c r="K30" i="106" s="1"/>
  <c r="K29" i="106"/>
  <c r="I28" i="106"/>
  <c r="K28" i="106" s="1"/>
  <c r="K27" i="106"/>
  <c r="I27" i="106"/>
  <c r="I26" i="106"/>
  <c r="K26" i="106" s="1"/>
  <c r="K25" i="106"/>
  <c r="I25" i="106"/>
  <c r="I24" i="106"/>
  <c r="K24" i="106" s="1"/>
  <c r="K23" i="106"/>
  <c r="I23" i="106"/>
  <c r="I22" i="106"/>
  <c r="K22" i="106" s="1"/>
  <c r="K21" i="106"/>
  <c r="G152" i="106" l="1"/>
  <c r="K98" i="106"/>
  <c r="K146" i="106" s="1"/>
  <c r="K36" i="106"/>
  <c r="K141" i="106" s="1"/>
  <c r="F152" i="106"/>
  <c r="I36" i="106"/>
  <c r="I141" i="106" s="1"/>
  <c r="I152" i="106" s="1"/>
  <c r="K106" i="106"/>
  <c r="K108" i="106" s="1"/>
  <c r="K147" i="106" s="1"/>
  <c r="K152" i="106" l="1"/>
  <c r="F154" i="106" l="1"/>
  <c r="F155" i="106"/>
  <c r="J150" i="104" l="1"/>
  <c r="I150" i="104"/>
  <c r="H150" i="104"/>
  <c r="H149" i="104"/>
  <c r="K148" i="104"/>
  <c r="I144" i="104"/>
  <c r="G143" i="104"/>
  <c r="J137" i="104"/>
  <c r="J149" i="104" s="1"/>
  <c r="I137" i="104"/>
  <c r="I149" i="104" s="1"/>
  <c r="H137" i="104"/>
  <c r="G137" i="104"/>
  <c r="G149" i="104" s="1"/>
  <c r="F137" i="104"/>
  <c r="F149" i="104" s="1"/>
  <c r="K135" i="104"/>
  <c r="K134" i="104"/>
  <c r="K133" i="104"/>
  <c r="K132" i="104"/>
  <c r="K131" i="104"/>
  <c r="K137" i="104" s="1"/>
  <c r="K149" i="104" s="1"/>
  <c r="F119" i="104"/>
  <c r="F123" i="104" s="1"/>
  <c r="F127" i="104" s="1"/>
  <c r="J108" i="104"/>
  <c r="J147" i="104" s="1"/>
  <c r="H108" i="104"/>
  <c r="H147" i="104" s="1"/>
  <c r="G108" i="104"/>
  <c r="G147" i="104" s="1"/>
  <c r="F108" i="104"/>
  <c r="F147" i="104" s="1"/>
  <c r="I106" i="104"/>
  <c r="K106" i="104" s="1"/>
  <c r="I105" i="104"/>
  <c r="K105" i="104" s="1"/>
  <c r="I104" i="104"/>
  <c r="K104" i="104" s="1"/>
  <c r="K103" i="104"/>
  <c r="I103" i="104"/>
  <c r="I102" i="104"/>
  <c r="K102" i="104" s="1"/>
  <c r="J98" i="104"/>
  <c r="J146" i="104" s="1"/>
  <c r="H98" i="104"/>
  <c r="H146" i="104" s="1"/>
  <c r="G98" i="104"/>
  <c r="G146" i="104" s="1"/>
  <c r="F98" i="104"/>
  <c r="F146" i="104" s="1"/>
  <c r="I96" i="104"/>
  <c r="K96" i="104" s="1"/>
  <c r="I95" i="104"/>
  <c r="K95" i="104" s="1"/>
  <c r="I94" i="104"/>
  <c r="K94" i="104" s="1"/>
  <c r="K93" i="104"/>
  <c r="I93" i="104"/>
  <c r="I92" i="104"/>
  <c r="K92" i="104" s="1"/>
  <c r="I91" i="104"/>
  <c r="K91" i="104" s="1"/>
  <c r="I90" i="104"/>
  <c r="K90" i="104" s="1"/>
  <c r="K89" i="104"/>
  <c r="I89" i="104"/>
  <c r="I88" i="104"/>
  <c r="K88" i="104" s="1"/>
  <c r="I87" i="104"/>
  <c r="K87" i="104" s="1"/>
  <c r="I86" i="104"/>
  <c r="I98" i="104" s="1"/>
  <c r="I146" i="104" s="1"/>
  <c r="J82" i="104"/>
  <c r="J145" i="104" s="1"/>
  <c r="I82" i="104"/>
  <c r="I145" i="104" s="1"/>
  <c r="H82" i="104"/>
  <c r="H145" i="104" s="1"/>
  <c r="G82" i="104"/>
  <c r="G145" i="104" s="1"/>
  <c r="F82" i="104"/>
  <c r="F145" i="104" s="1"/>
  <c r="K80" i="104"/>
  <c r="K79" i="104"/>
  <c r="K78" i="104"/>
  <c r="K82" i="104" s="1"/>
  <c r="K145" i="104" s="1"/>
  <c r="K77" i="104"/>
  <c r="J74" i="104"/>
  <c r="J144" i="104" s="1"/>
  <c r="I74" i="104"/>
  <c r="H74" i="104"/>
  <c r="H144" i="104" s="1"/>
  <c r="G74" i="104"/>
  <c r="G144" i="104" s="1"/>
  <c r="F74" i="104"/>
  <c r="F144" i="104" s="1"/>
  <c r="K72" i="104"/>
  <c r="K71" i="104"/>
  <c r="K70" i="104"/>
  <c r="K69" i="104"/>
  <c r="K68" i="104"/>
  <c r="K74" i="104" s="1"/>
  <c r="K144" i="104" s="1"/>
  <c r="J64" i="104"/>
  <c r="J143" i="104" s="1"/>
  <c r="H64" i="104"/>
  <c r="H143" i="104" s="1"/>
  <c r="G64" i="104"/>
  <c r="F64" i="104"/>
  <c r="F143" i="104" s="1"/>
  <c r="K62" i="104"/>
  <c r="K61" i="104"/>
  <c r="K60" i="104"/>
  <c r="K59" i="104"/>
  <c r="K58" i="104"/>
  <c r="K57" i="104"/>
  <c r="K56" i="104"/>
  <c r="K55" i="104"/>
  <c r="K54" i="104"/>
  <c r="I53" i="104"/>
  <c r="K53" i="104" s="1"/>
  <c r="K64" i="104" s="1"/>
  <c r="K143" i="104" s="1"/>
  <c r="J49" i="104"/>
  <c r="J142" i="104" s="1"/>
  <c r="G49" i="104"/>
  <c r="G142" i="104" s="1"/>
  <c r="K47" i="104"/>
  <c r="K46" i="104"/>
  <c r="K45" i="104"/>
  <c r="K44" i="104"/>
  <c r="K43" i="104"/>
  <c r="H42" i="104"/>
  <c r="H49" i="104" s="1"/>
  <c r="H142" i="104" s="1"/>
  <c r="F42" i="104"/>
  <c r="F49" i="104" s="1"/>
  <c r="F142" i="104" s="1"/>
  <c r="K41" i="104"/>
  <c r="K40" i="104"/>
  <c r="J36" i="104"/>
  <c r="J141" i="104" s="1"/>
  <c r="H36" i="104"/>
  <c r="H141" i="104" s="1"/>
  <c r="G36" i="104"/>
  <c r="G141" i="104" s="1"/>
  <c r="F36" i="104"/>
  <c r="F141" i="104" s="1"/>
  <c r="K34" i="104"/>
  <c r="I34" i="104"/>
  <c r="I33" i="104"/>
  <c r="K33" i="104" s="1"/>
  <c r="K32" i="104"/>
  <c r="I32" i="104"/>
  <c r="I31" i="104"/>
  <c r="K31" i="104" s="1"/>
  <c r="K30" i="104"/>
  <c r="I30" i="104"/>
  <c r="I29" i="104"/>
  <c r="K29" i="104" s="1"/>
  <c r="K28" i="104"/>
  <c r="I28" i="104"/>
  <c r="I27" i="104"/>
  <c r="K27" i="104" s="1"/>
  <c r="K26" i="104"/>
  <c r="I26" i="104"/>
  <c r="I25" i="104"/>
  <c r="K25" i="104" s="1"/>
  <c r="K24" i="104"/>
  <c r="I24" i="104"/>
  <c r="I23" i="104"/>
  <c r="K23" i="104" s="1"/>
  <c r="K22" i="104"/>
  <c r="I22" i="104"/>
  <c r="I21" i="104"/>
  <c r="I36" i="104" s="1"/>
  <c r="I141" i="104" s="1"/>
  <c r="K18" i="104"/>
  <c r="K150" i="104" s="1"/>
  <c r="F152" i="104" l="1"/>
  <c r="K108" i="104"/>
  <c r="K147" i="104" s="1"/>
  <c r="G152" i="104"/>
  <c r="H152" i="104"/>
  <c r="J152" i="104"/>
  <c r="K49" i="104"/>
  <c r="K142" i="104" s="1"/>
  <c r="K21" i="104"/>
  <c r="K36" i="104" s="1"/>
  <c r="K141" i="104" s="1"/>
  <c r="K152" i="104" s="1"/>
  <c r="I64" i="104"/>
  <c r="I143" i="104" s="1"/>
  <c r="K86" i="104"/>
  <c r="K98" i="104" s="1"/>
  <c r="K146" i="104" s="1"/>
  <c r="I108" i="104"/>
  <c r="I147" i="104" s="1"/>
  <c r="I42" i="104"/>
  <c r="I49" i="104" s="1"/>
  <c r="I142" i="104" s="1"/>
  <c r="I152" i="104" s="1"/>
  <c r="K42" i="104"/>
  <c r="F155" i="104" l="1"/>
  <c r="F154" i="104"/>
  <c r="J150" i="125" l="1"/>
  <c r="I150" i="125"/>
  <c r="H150" i="125"/>
  <c r="K149" i="125"/>
  <c r="J149" i="125"/>
  <c r="I149" i="125"/>
  <c r="H149" i="125"/>
  <c r="G149" i="125"/>
  <c r="G152" i="125" s="1"/>
  <c r="F149" i="125"/>
  <c r="K148" i="125"/>
  <c r="J147" i="125"/>
  <c r="H146" i="125"/>
  <c r="F145" i="125"/>
  <c r="I144" i="125"/>
  <c r="J143" i="125"/>
  <c r="G143" i="125"/>
  <c r="H142" i="125"/>
  <c r="F141" i="125"/>
  <c r="F119" i="125"/>
  <c r="F123" i="125" s="1"/>
  <c r="F127" i="125" s="1"/>
  <c r="J108" i="125"/>
  <c r="I108" i="125"/>
  <c r="I147" i="125" s="1"/>
  <c r="H108" i="125"/>
  <c r="H147" i="125" s="1"/>
  <c r="G108" i="125"/>
  <c r="G147" i="125" s="1"/>
  <c r="F108" i="125"/>
  <c r="F147" i="125" s="1"/>
  <c r="K106" i="125"/>
  <c r="K105" i="125"/>
  <c r="K104" i="125"/>
  <c r="K103" i="125"/>
  <c r="K102" i="125"/>
  <c r="K108" i="125" s="1"/>
  <c r="K147" i="125" s="1"/>
  <c r="J98" i="125"/>
  <c r="J146" i="125" s="1"/>
  <c r="I98" i="125"/>
  <c r="I146" i="125" s="1"/>
  <c r="H98" i="125"/>
  <c r="G98" i="125"/>
  <c r="G146" i="125" s="1"/>
  <c r="F98" i="125"/>
  <c r="F146" i="125" s="1"/>
  <c r="K94" i="125"/>
  <c r="K93" i="125"/>
  <c r="K92" i="125"/>
  <c r="K88" i="125"/>
  <c r="K98" i="125" s="1"/>
  <c r="K146" i="125" s="1"/>
  <c r="J82" i="125"/>
  <c r="J145" i="125" s="1"/>
  <c r="I82" i="125"/>
  <c r="I145" i="125" s="1"/>
  <c r="H82" i="125"/>
  <c r="H145" i="125" s="1"/>
  <c r="G82" i="125"/>
  <c r="G145" i="125" s="1"/>
  <c r="F82" i="125"/>
  <c r="K79" i="125"/>
  <c r="K78" i="125"/>
  <c r="K77" i="125"/>
  <c r="K82" i="125" s="1"/>
  <c r="K145" i="125" s="1"/>
  <c r="J74" i="125"/>
  <c r="J144" i="125" s="1"/>
  <c r="I74" i="125"/>
  <c r="H74" i="125"/>
  <c r="H144" i="125" s="1"/>
  <c r="G74" i="125"/>
  <c r="G144" i="125" s="1"/>
  <c r="F74" i="125"/>
  <c r="F144" i="125" s="1"/>
  <c r="K72" i="125"/>
  <c r="K71" i="125"/>
  <c r="K70" i="125"/>
  <c r="K69" i="125"/>
  <c r="K68" i="125"/>
  <c r="K74" i="125" s="1"/>
  <c r="K144" i="125" s="1"/>
  <c r="I64" i="125"/>
  <c r="I143" i="125" s="1"/>
  <c r="H64" i="125"/>
  <c r="H143" i="125" s="1"/>
  <c r="F64" i="125"/>
  <c r="F143" i="125" s="1"/>
  <c r="K62" i="125"/>
  <c r="K61" i="125"/>
  <c r="K60" i="125"/>
  <c r="K59" i="125"/>
  <c r="K58" i="125"/>
  <c r="K57" i="125"/>
  <c r="K56" i="125"/>
  <c r="K55" i="125"/>
  <c r="K54" i="125"/>
  <c r="K53" i="125"/>
  <c r="K64" i="125" s="1"/>
  <c r="K143" i="125" s="1"/>
  <c r="J49" i="125"/>
  <c r="J142" i="125" s="1"/>
  <c r="I49" i="125"/>
  <c r="I142" i="125" s="1"/>
  <c r="H49" i="125"/>
  <c r="G49" i="125"/>
  <c r="G142" i="125" s="1"/>
  <c r="F49" i="125"/>
  <c r="F142" i="125" s="1"/>
  <c r="K47" i="125"/>
  <c r="K46" i="125"/>
  <c r="K45" i="125"/>
  <c r="K49" i="125" s="1"/>
  <c r="K142" i="125" s="1"/>
  <c r="K44" i="125"/>
  <c r="K43" i="125"/>
  <c r="K42" i="125"/>
  <c r="K41" i="125"/>
  <c r="K40" i="125"/>
  <c r="J36" i="125"/>
  <c r="J141" i="125" s="1"/>
  <c r="I36" i="125"/>
  <c r="I141" i="125" s="1"/>
  <c r="G36" i="125"/>
  <c r="G141" i="125" s="1"/>
  <c r="F36" i="125"/>
  <c r="H32" i="125"/>
  <c r="H31" i="125"/>
  <c r="H30" i="125"/>
  <c r="H29" i="125"/>
  <c r="K27" i="125"/>
  <c r="K36" i="125" s="1"/>
  <c r="K141" i="125" s="1"/>
  <c r="I27" i="125"/>
  <c r="H26" i="125"/>
  <c r="H25" i="125"/>
  <c r="H24" i="125"/>
  <c r="H22" i="125"/>
  <c r="H21" i="125"/>
  <c r="H36" i="125" s="1"/>
  <c r="H141" i="125" s="1"/>
  <c r="K18" i="125"/>
  <c r="K150" i="125" s="1"/>
  <c r="H152" i="125" l="1"/>
  <c r="I152" i="125"/>
  <c r="K152" i="125"/>
  <c r="J152" i="125"/>
  <c r="F152" i="125"/>
  <c r="F155" i="125" l="1"/>
  <c r="F154" i="125"/>
  <c r="J150" i="102" l="1"/>
  <c r="I150" i="102"/>
  <c r="H150" i="102"/>
  <c r="I149" i="102"/>
  <c r="K148" i="102"/>
  <c r="G146" i="102"/>
  <c r="F146" i="102"/>
  <c r="J144" i="102"/>
  <c r="I143" i="102"/>
  <c r="G142" i="102"/>
  <c r="F142" i="102"/>
  <c r="J137" i="102"/>
  <c r="J149" i="102" s="1"/>
  <c r="I137" i="102"/>
  <c r="H137" i="102"/>
  <c r="H149" i="102" s="1"/>
  <c r="G137" i="102"/>
  <c r="G149" i="102" s="1"/>
  <c r="F137" i="102"/>
  <c r="F149" i="102" s="1"/>
  <c r="K135" i="102"/>
  <c r="K134" i="102"/>
  <c r="K133" i="102"/>
  <c r="K132" i="102"/>
  <c r="K137" i="102" s="1"/>
  <c r="K149" i="102" s="1"/>
  <c r="K131" i="102"/>
  <c r="F123" i="102"/>
  <c r="F127" i="102" s="1"/>
  <c r="F119" i="102"/>
  <c r="F114" i="102"/>
  <c r="J108" i="102"/>
  <c r="J147" i="102" s="1"/>
  <c r="I108" i="102"/>
  <c r="I147" i="102" s="1"/>
  <c r="G108" i="102"/>
  <c r="G147" i="102" s="1"/>
  <c r="F108" i="102"/>
  <c r="F147" i="102" s="1"/>
  <c r="I106" i="102"/>
  <c r="K106" i="102" s="1"/>
  <c r="I105" i="102"/>
  <c r="K105" i="102" s="1"/>
  <c r="K104" i="102"/>
  <c r="I104" i="102"/>
  <c r="I103" i="102"/>
  <c r="K103" i="102" s="1"/>
  <c r="I102" i="102"/>
  <c r="H102" i="102"/>
  <c r="K102" i="102" s="1"/>
  <c r="J98" i="102"/>
  <c r="J146" i="102" s="1"/>
  <c r="H98" i="102"/>
  <c r="H146" i="102" s="1"/>
  <c r="G98" i="102"/>
  <c r="F98" i="102"/>
  <c r="K96" i="102"/>
  <c r="I96" i="102"/>
  <c r="I95" i="102"/>
  <c r="K95" i="102" s="1"/>
  <c r="K94" i="102"/>
  <c r="I94" i="102"/>
  <c r="K93" i="102"/>
  <c r="I93" i="102"/>
  <c r="K92" i="102"/>
  <c r="I92" i="102"/>
  <c r="I91" i="102"/>
  <c r="K91" i="102" s="1"/>
  <c r="K90" i="102"/>
  <c r="I90" i="102"/>
  <c r="K89" i="102"/>
  <c r="I89" i="102"/>
  <c r="K88" i="102"/>
  <c r="I88" i="102"/>
  <c r="I87" i="102"/>
  <c r="K87" i="102" s="1"/>
  <c r="K98" i="102" s="1"/>
  <c r="K146" i="102" s="1"/>
  <c r="K86" i="102"/>
  <c r="I86" i="102"/>
  <c r="J82" i="102"/>
  <c r="J145" i="102" s="1"/>
  <c r="I82" i="102"/>
  <c r="I145" i="102" s="1"/>
  <c r="H82" i="102"/>
  <c r="H145" i="102" s="1"/>
  <c r="G82" i="102"/>
  <c r="G145" i="102" s="1"/>
  <c r="F82" i="102"/>
  <c r="F145" i="102" s="1"/>
  <c r="K80" i="102"/>
  <c r="K79" i="102"/>
  <c r="K78" i="102"/>
  <c r="K82" i="102" s="1"/>
  <c r="K145" i="102" s="1"/>
  <c r="K77" i="102"/>
  <c r="J74" i="102"/>
  <c r="I74" i="102"/>
  <c r="I144" i="102" s="1"/>
  <c r="H74" i="102"/>
  <c r="H144" i="102" s="1"/>
  <c r="G74" i="102"/>
  <c r="G144" i="102" s="1"/>
  <c r="F74" i="102"/>
  <c r="F144" i="102" s="1"/>
  <c r="K72" i="102"/>
  <c r="K71" i="102"/>
  <c r="K70" i="102"/>
  <c r="K69" i="102"/>
  <c r="K68" i="102"/>
  <c r="K74" i="102" s="1"/>
  <c r="K144" i="102" s="1"/>
  <c r="J64" i="102"/>
  <c r="J143" i="102" s="1"/>
  <c r="I64" i="102"/>
  <c r="G64" i="102"/>
  <c r="G143" i="102" s="1"/>
  <c r="F64" i="102"/>
  <c r="F143" i="102" s="1"/>
  <c r="K62" i="102"/>
  <c r="K61" i="102"/>
  <c r="K60" i="102"/>
  <c r="K59" i="102"/>
  <c r="K58" i="102"/>
  <c r="K57" i="102"/>
  <c r="K56" i="102"/>
  <c r="K55" i="102"/>
  <c r="K54" i="102"/>
  <c r="H53" i="102"/>
  <c r="H64" i="102" s="1"/>
  <c r="H143" i="102" s="1"/>
  <c r="J49" i="102"/>
  <c r="J142" i="102" s="1"/>
  <c r="I49" i="102"/>
  <c r="I142" i="102" s="1"/>
  <c r="H49" i="102"/>
  <c r="H142" i="102" s="1"/>
  <c r="G49" i="102"/>
  <c r="F49" i="102"/>
  <c r="K47" i="102"/>
  <c r="K46" i="102"/>
  <c r="K45" i="102"/>
  <c r="K44" i="102"/>
  <c r="K43" i="102"/>
  <c r="K42" i="102"/>
  <c r="K41" i="102"/>
  <c r="K40" i="102"/>
  <c r="K49" i="102" s="1"/>
  <c r="K142" i="102" s="1"/>
  <c r="J36" i="102"/>
  <c r="J141" i="102" s="1"/>
  <c r="H36" i="102"/>
  <c r="H141" i="102" s="1"/>
  <c r="G36" i="102"/>
  <c r="G141" i="102" s="1"/>
  <c r="F36" i="102"/>
  <c r="F141" i="102" s="1"/>
  <c r="K34" i="102"/>
  <c r="I34" i="102"/>
  <c r="I33" i="102"/>
  <c r="K33" i="102" s="1"/>
  <c r="K32" i="102"/>
  <c r="I32" i="102"/>
  <c r="K31" i="102"/>
  <c r="I31" i="102"/>
  <c r="K30" i="102"/>
  <c r="I30" i="102"/>
  <c r="I29" i="102"/>
  <c r="K29" i="102" s="1"/>
  <c r="K28" i="102"/>
  <c r="I28" i="102"/>
  <c r="K27" i="102"/>
  <c r="I27" i="102"/>
  <c r="K26" i="102"/>
  <c r="I26" i="102"/>
  <c r="I25" i="102"/>
  <c r="K25" i="102" s="1"/>
  <c r="K24" i="102"/>
  <c r="I24" i="102"/>
  <c r="K23" i="102"/>
  <c r="I23" i="102"/>
  <c r="K22" i="102"/>
  <c r="I22" i="102"/>
  <c r="I21" i="102"/>
  <c r="K21" i="102" s="1"/>
  <c r="K18" i="102"/>
  <c r="K150" i="102" s="1"/>
  <c r="K36" i="102" l="1"/>
  <c r="K141" i="102" s="1"/>
  <c r="F152" i="102"/>
  <c r="K108" i="102"/>
  <c r="K147" i="102" s="1"/>
  <c r="G152" i="102"/>
  <c r="H152" i="102"/>
  <c r="J152" i="102"/>
  <c r="I36" i="102"/>
  <c r="I141" i="102" s="1"/>
  <c r="I98" i="102"/>
  <c r="I146" i="102" s="1"/>
  <c r="H108" i="102"/>
  <c r="H147" i="102" s="1"/>
  <c r="K53" i="102"/>
  <c r="K64" i="102" s="1"/>
  <c r="K143" i="102" s="1"/>
  <c r="I152" i="102" l="1"/>
  <c r="K152" i="102"/>
  <c r="F155" i="102" l="1"/>
  <c r="F154" i="102"/>
  <c r="J150" i="101" l="1"/>
  <c r="I150" i="101"/>
  <c r="H150" i="101"/>
  <c r="H149" i="101"/>
  <c r="K148" i="101"/>
  <c r="J144" i="101"/>
  <c r="I144" i="101"/>
  <c r="F142" i="101"/>
  <c r="J137" i="101"/>
  <c r="J149" i="101" s="1"/>
  <c r="I137" i="101"/>
  <c r="I149" i="101" s="1"/>
  <c r="H137" i="101"/>
  <c r="G137" i="101"/>
  <c r="G149" i="101" s="1"/>
  <c r="F137" i="101"/>
  <c r="F149" i="101" s="1"/>
  <c r="K135" i="101"/>
  <c r="K134" i="101"/>
  <c r="K133" i="101"/>
  <c r="K132" i="101"/>
  <c r="K131" i="101"/>
  <c r="K137" i="101" s="1"/>
  <c r="K149" i="101" s="1"/>
  <c r="F119" i="101"/>
  <c r="F123" i="101" s="1"/>
  <c r="F127" i="101" s="1"/>
  <c r="J108" i="101"/>
  <c r="J147" i="101" s="1"/>
  <c r="H108" i="101"/>
  <c r="H147" i="101" s="1"/>
  <c r="G108" i="101"/>
  <c r="G147" i="101" s="1"/>
  <c r="F108" i="101"/>
  <c r="F147" i="101" s="1"/>
  <c r="I106" i="101"/>
  <c r="K106" i="101" s="1"/>
  <c r="I105" i="101"/>
  <c r="K105" i="101" s="1"/>
  <c r="I104" i="101"/>
  <c r="I108" i="101" s="1"/>
  <c r="I147" i="101" s="1"/>
  <c r="K103" i="101"/>
  <c r="I103" i="101"/>
  <c r="K102" i="101"/>
  <c r="J98" i="101"/>
  <c r="J146" i="101" s="1"/>
  <c r="H98" i="101"/>
  <c r="H146" i="101" s="1"/>
  <c r="G98" i="101"/>
  <c r="G146" i="101" s="1"/>
  <c r="F98" i="101"/>
  <c r="F146" i="101" s="1"/>
  <c r="I96" i="101"/>
  <c r="K96" i="101" s="1"/>
  <c r="I95" i="101"/>
  <c r="K95" i="101" s="1"/>
  <c r="I94" i="101"/>
  <c r="K94" i="101" s="1"/>
  <c r="I93" i="101"/>
  <c r="K93" i="101" s="1"/>
  <c r="I92" i="101"/>
  <c r="K92" i="101" s="1"/>
  <c r="I91" i="101"/>
  <c r="K91" i="101" s="1"/>
  <c r="I90" i="101"/>
  <c r="K90" i="101" s="1"/>
  <c r="I89" i="101"/>
  <c r="K89" i="101" s="1"/>
  <c r="I88" i="101"/>
  <c r="K88" i="101" s="1"/>
  <c r="I87" i="101"/>
  <c r="K87" i="101" s="1"/>
  <c r="I86" i="101"/>
  <c r="I98" i="101" s="1"/>
  <c r="I146" i="101" s="1"/>
  <c r="J82" i="101"/>
  <c r="J145" i="101" s="1"/>
  <c r="I82" i="101"/>
  <c r="I145" i="101" s="1"/>
  <c r="H82" i="101"/>
  <c r="H145" i="101" s="1"/>
  <c r="G82" i="101"/>
  <c r="G145" i="101" s="1"/>
  <c r="F82" i="101"/>
  <c r="F145" i="101" s="1"/>
  <c r="K80" i="101"/>
  <c r="K79" i="101"/>
  <c r="K78" i="101"/>
  <c r="K77" i="101"/>
  <c r="K82" i="101" s="1"/>
  <c r="K145" i="101" s="1"/>
  <c r="J74" i="101"/>
  <c r="I74" i="101"/>
  <c r="H74" i="101"/>
  <c r="H144" i="101" s="1"/>
  <c r="G74" i="101"/>
  <c r="G144" i="101" s="1"/>
  <c r="F74" i="101"/>
  <c r="F144" i="101" s="1"/>
  <c r="K72" i="101"/>
  <c r="K71" i="101"/>
  <c r="K70" i="101"/>
  <c r="K69" i="101"/>
  <c r="K68" i="101"/>
  <c r="K74" i="101" s="1"/>
  <c r="K144" i="101" s="1"/>
  <c r="J64" i="101"/>
  <c r="J143" i="101" s="1"/>
  <c r="I64" i="101"/>
  <c r="I143" i="101" s="1"/>
  <c r="H64" i="101"/>
  <c r="H143" i="101" s="1"/>
  <c r="G64" i="101"/>
  <c r="G143" i="101" s="1"/>
  <c r="K62" i="101"/>
  <c r="K61" i="101"/>
  <c r="K60" i="101"/>
  <c r="K59" i="101"/>
  <c r="K58" i="101"/>
  <c r="K57" i="101"/>
  <c r="K56" i="101"/>
  <c r="K55" i="101"/>
  <c r="K54" i="101"/>
  <c r="K53" i="101"/>
  <c r="K64" i="101" s="1"/>
  <c r="K143" i="101" s="1"/>
  <c r="F53" i="101"/>
  <c r="F64" i="101" s="1"/>
  <c r="F143" i="101" s="1"/>
  <c r="J49" i="101"/>
  <c r="J142" i="101" s="1"/>
  <c r="I49" i="101"/>
  <c r="I142" i="101" s="1"/>
  <c r="H49" i="101"/>
  <c r="H142" i="101" s="1"/>
  <c r="G49" i="101"/>
  <c r="G142" i="101" s="1"/>
  <c r="F49" i="101"/>
  <c r="K47" i="101"/>
  <c r="K46" i="101"/>
  <c r="K45" i="101"/>
  <c r="K44" i="101"/>
  <c r="K43" i="101"/>
  <c r="K42" i="101"/>
  <c r="K41" i="101"/>
  <c r="K40" i="101"/>
  <c r="K49" i="101" s="1"/>
  <c r="K142" i="101" s="1"/>
  <c r="J36" i="101"/>
  <c r="J141" i="101" s="1"/>
  <c r="H36" i="101"/>
  <c r="H141" i="101" s="1"/>
  <c r="G36" i="101"/>
  <c r="G141" i="101" s="1"/>
  <c r="F36" i="101"/>
  <c r="F141" i="101" s="1"/>
  <c r="F152" i="101" s="1"/>
  <c r="I34" i="101"/>
  <c r="K34" i="101" s="1"/>
  <c r="I33" i="101"/>
  <c r="K33" i="101" s="1"/>
  <c r="I32" i="101"/>
  <c r="K32" i="101" s="1"/>
  <c r="I31" i="101"/>
  <c r="K31" i="101" s="1"/>
  <c r="G31" i="101"/>
  <c r="I30" i="101"/>
  <c r="H30" i="101"/>
  <c r="K30" i="101" s="1"/>
  <c r="I29" i="101"/>
  <c r="K29" i="101" s="1"/>
  <c r="I28" i="101"/>
  <c r="K28" i="101" s="1"/>
  <c r="I27" i="101"/>
  <c r="K27" i="101" s="1"/>
  <c r="I26" i="101"/>
  <c r="K26" i="101" s="1"/>
  <c r="K25" i="101"/>
  <c r="I24" i="101"/>
  <c r="K24" i="101" s="1"/>
  <c r="K23" i="101"/>
  <c r="I23" i="101"/>
  <c r="K22" i="101"/>
  <c r="I22" i="101"/>
  <c r="I21" i="101"/>
  <c r="K21" i="101" s="1"/>
  <c r="K18" i="101"/>
  <c r="K150" i="101" s="1"/>
  <c r="J152" i="101" l="1"/>
  <c r="H152" i="101"/>
  <c r="G152" i="101"/>
  <c r="K36" i="101"/>
  <c r="K141" i="101" s="1"/>
  <c r="K104" i="101"/>
  <c r="K108" i="101" s="1"/>
  <c r="K147" i="101" s="1"/>
  <c r="I36" i="101"/>
  <c r="I141" i="101" s="1"/>
  <c r="I152" i="101" s="1"/>
  <c r="K86" i="101"/>
  <c r="K98" i="101" s="1"/>
  <c r="K146" i="101" s="1"/>
  <c r="K152" i="101" l="1"/>
  <c r="F155" i="101" l="1"/>
  <c r="F154" i="101"/>
  <c r="J150" i="99" l="1"/>
  <c r="I150" i="99"/>
  <c r="H150" i="99"/>
  <c r="J149" i="99"/>
  <c r="I149" i="99"/>
  <c r="K148" i="99"/>
  <c r="J147" i="99"/>
  <c r="H147" i="99"/>
  <c r="G146" i="99"/>
  <c r="F146" i="99"/>
  <c r="G143" i="99"/>
  <c r="F143" i="99"/>
  <c r="J141" i="99"/>
  <c r="J137" i="99"/>
  <c r="I137" i="99"/>
  <c r="H137" i="99"/>
  <c r="H149" i="99" s="1"/>
  <c r="G137" i="99"/>
  <c r="G149" i="99" s="1"/>
  <c r="F137" i="99"/>
  <c r="F149" i="99" s="1"/>
  <c r="K135" i="99"/>
  <c r="K134" i="99"/>
  <c r="K133" i="99"/>
  <c r="K132" i="99"/>
  <c r="K131" i="99"/>
  <c r="K137" i="99" s="1"/>
  <c r="K149" i="99" s="1"/>
  <c r="F119" i="99"/>
  <c r="J108" i="99"/>
  <c r="H108" i="99"/>
  <c r="G108" i="99"/>
  <c r="G147" i="99" s="1"/>
  <c r="F108" i="99"/>
  <c r="F147" i="99" s="1"/>
  <c r="I106" i="99"/>
  <c r="K106" i="99" s="1"/>
  <c r="K105" i="99"/>
  <c r="I105" i="99"/>
  <c r="K104" i="99"/>
  <c r="I104" i="99"/>
  <c r="I103" i="99"/>
  <c r="K103" i="99" s="1"/>
  <c r="I102" i="99"/>
  <c r="I108" i="99" s="1"/>
  <c r="I147" i="99" s="1"/>
  <c r="J98" i="99"/>
  <c r="J146" i="99" s="1"/>
  <c r="H98" i="99"/>
  <c r="H146" i="99" s="1"/>
  <c r="G98" i="99"/>
  <c r="F98" i="99"/>
  <c r="I96" i="99"/>
  <c r="K96" i="99" s="1"/>
  <c r="K95" i="99"/>
  <c r="I95" i="99"/>
  <c r="K94" i="99"/>
  <c r="I94" i="99"/>
  <c r="I93" i="99"/>
  <c r="K93" i="99" s="1"/>
  <c r="I92" i="99"/>
  <c r="K92" i="99" s="1"/>
  <c r="K91" i="99"/>
  <c r="I91" i="99"/>
  <c r="K90" i="99"/>
  <c r="I90" i="99"/>
  <c r="I89" i="99"/>
  <c r="K89" i="99" s="1"/>
  <c r="I88" i="99"/>
  <c r="K88" i="99" s="1"/>
  <c r="K87" i="99"/>
  <c r="I87" i="99"/>
  <c r="K86" i="99"/>
  <c r="K98" i="99" s="1"/>
  <c r="K146" i="99" s="1"/>
  <c r="I86" i="99"/>
  <c r="I98" i="99" s="1"/>
  <c r="I146" i="99" s="1"/>
  <c r="J82" i="99"/>
  <c r="J145" i="99" s="1"/>
  <c r="I82" i="99"/>
  <c r="I145" i="99" s="1"/>
  <c r="H82" i="99"/>
  <c r="H145" i="99" s="1"/>
  <c r="G82" i="99"/>
  <c r="G145" i="99" s="1"/>
  <c r="F82" i="99"/>
  <c r="F145" i="99" s="1"/>
  <c r="K80" i="99"/>
  <c r="K79" i="99"/>
  <c r="K78" i="99"/>
  <c r="K77" i="99"/>
  <c r="K82" i="99" s="1"/>
  <c r="K145" i="99" s="1"/>
  <c r="J74" i="99"/>
  <c r="J144" i="99" s="1"/>
  <c r="I74" i="99"/>
  <c r="I144" i="99" s="1"/>
  <c r="H74" i="99"/>
  <c r="H144" i="99" s="1"/>
  <c r="G74" i="99"/>
  <c r="G144" i="99" s="1"/>
  <c r="F74" i="99"/>
  <c r="F144" i="99" s="1"/>
  <c r="K72" i="99"/>
  <c r="K71" i="99"/>
  <c r="K70" i="99"/>
  <c r="K69" i="99"/>
  <c r="K74" i="99" s="1"/>
  <c r="K144" i="99" s="1"/>
  <c r="K68" i="99"/>
  <c r="J64" i="99"/>
  <c r="J143" i="99" s="1"/>
  <c r="I64" i="99"/>
  <c r="I143" i="99" s="1"/>
  <c r="H64" i="99"/>
  <c r="G64" i="99"/>
  <c r="F64" i="99"/>
  <c r="K62" i="99"/>
  <c r="K61" i="99"/>
  <c r="K60" i="99"/>
  <c r="K59" i="99"/>
  <c r="K58" i="99"/>
  <c r="K57" i="99"/>
  <c r="K56" i="99"/>
  <c r="K55" i="99"/>
  <c r="K54" i="99"/>
  <c r="K53" i="99"/>
  <c r="K64" i="99" s="1"/>
  <c r="J49" i="99"/>
  <c r="J142" i="99" s="1"/>
  <c r="I49" i="99"/>
  <c r="I142" i="99" s="1"/>
  <c r="H49" i="99"/>
  <c r="H142" i="99" s="1"/>
  <c r="G49" i="99"/>
  <c r="G142" i="99" s="1"/>
  <c r="F49" i="99"/>
  <c r="F142" i="99" s="1"/>
  <c r="K47" i="99"/>
  <c r="K46" i="99"/>
  <c r="K45" i="99"/>
  <c r="K44" i="99"/>
  <c r="K43" i="99"/>
  <c r="K42" i="99"/>
  <c r="K41" i="99"/>
  <c r="K40" i="99"/>
  <c r="K49" i="99" s="1"/>
  <c r="K142" i="99" s="1"/>
  <c r="J36" i="99"/>
  <c r="H36" i="99"/>
  <c r="H141" i="99" s="1"/>
  <c r="G36" i="99"/>
  <c r="G141" i="99" s="1"/>
  <c r="F36" i="99"/>
  <c r="F141" i="99" s="1"/>
  <c r="I34" i="99"/>
  <c r="K34" i="99" s="1"/>
  <c r="K33" i="99"/>
  <c r="I33" i="99"/>
  <c r="I32" i="99"/>
  <c r="K32" i="99" s="1"/>
  <c r="I31" i="99"/>
  <c r="K31" i="99" s="1"/>
  <c r="I30" i="99"/>
  <c r="K30" i="99" s="1"/>
  <c r="K29" i="99"/>
  <c r="I29" i="99"/>
  <c r="I28" i="99"/>
  <c r="K28" i="99" s="1"/>
  <c r="I27" i="99"/>
  <c r="K27" i="99" s="1"/>
  <c r="I26" i="99"/>
  <c r="K26" i="99" s="1"/>
  <c r="K25" i="99"/>
  <c r="I25" i="99"/>
  <c r="I24" i="99"/>
  <c r="K24" i="99" s="1"/>
  <c r="I23" i="99"/>
  <c r="K23" i="99" s="1"/>
  <c r="I22" i="99"/>
  <c r="K22" i="99" s="1"/>
  <c r="K21" i="99"/>
  <c r="I21" i="99"/>
  <c r="I36" i="99" s="1"/>
  <c r="I141" i="99" s="1"/>
  <c r="I152" i="99" s="1"/>
  <c r="K18" i="99"/>
  <c r="K150" i="99" s="1"/>
  <c r="J152" i="99" l="1"/>
  <c r="K36" i="99"/>
  <c r="K141" i="99" s="1"/>
  <c r="F152" i="99"/>
  <c r="G152" i="99"/>
  <c r="H152" i="99"/>
  <c r="K102" i="99"/>
  <c r="K108" i="99" s="1"/>
  <c r="K147" i="99" s="1"/>
  <c r="J150" i="74"/>
  <c r="I150" i="74"/>
  <c r="H150" i="74"/>
  <c r="H149" i="74"/>
  <c r="K148" i="74"/>
  <c r="G147" i="74"/>
  <c r="G143" i="74"/>
  <c r="J137" i="74"/>
  <c r="J149" i="74" s="1"/>
  <c r="I137" i="74"/>
  <c r="I149" i="74" s="1"/>
  <c r="H137" i="74"/>
  <c r="G137" i="74"/>
  <c r="G149" i="74" s="1"/>
  <c r="F137" i="74"/>
  <c r="F149" i="74" s="1"/>
  <c r="K135" i="74"/>
  <c r="K134" i="74"/>
  <c r="K133" i="74"/>
  <c r="K132" i="74"/>
  <c r="K131" i="74"/>
  <c r="K137" i="74" s="1"/>
  <c r="K149" i="74" s="1"/>
  <c r="I131" i="74"/>
  <c r="F119" i="74"/>
  <c r="J108" i="74"/>
  <c r="J147" i="74" s="1"/>
  <c r="H108" i="74"/>
  <c r="H147" i="74" s="1"/>
  <c r="G108" i="74"/>
  <c r="F108" i="74"/>
  <c r="F147" i="74" s="1"/>
  <c r="I106" i="74"/>
  <c r="K106" i="74" s="1"/>
  <c r="I105" i="74"/>
  <c r="K105" i="74" s="1"/>
  <c r="I104" i="74"/>
  <c r="K104" i="74" s="1"/>
  <c r="I103" i="74"/>
  <c r="K103" i="74" s="1"/>
  <c r="I102" i="74"/>
  <c r="K102" i="74" s="1"/>
  <c r="J98" i="74"/>
  <c r="J146" i="74" s="1"/>
  <c r="H98" i="74"/>
  <c r="H146" i="74" s="1"/>
  <c r="G98" i="74"/>
  <c r="G146" i="74" s="1"/>
  <c r="F98" i="74"/>
  <c r="F146" i="74" s="1"/>
  <c r="I96" i="74"/>
  <c r="K96" i="74" s="1"/>
  <c r="I95" i="74"/>
  <c r="K95" i="74" s="1"/>
  <c r="I94" i="74"/>
  <c r="K94" i="74" s="1"/>
  <c r="I93" i="74"/>
  <c r="K93" i="74" s="1"/>
  <c r="I92" i="74"/>
  <c r="K92" i="74" s="1"/>
  <c r="I91" i="74"/>
  <c r="K91" i="74" s="1"/>
  <c r="I90" i="74"/>
  <c r="K90" i="74" s="1"/>
  <c r="I89" i="74"/>
  <c r="K89" i="74" s="1"/>
  <c r="I88" i="74"/>
  <c r="K88" i="74" s="1"/>
  <c r="I87" i="74"/>
  <c r="K87" i="74" s="1"/>
  <c r="I86" i="74"/>
  <c r="I98" i="74" s="1"/>
  <c r="I146" i="74" s="1"/>
  <c r="J82" i="74"/>
  <c r="J145" i="74" s="1"/>
  <c r="I82" i="74"/>
  <c r="I145" i="74" s="1"/>
  <c r="H82" i="74"/>
  <c r="H145" i="74" s="1"/>
  <c r="G82" i="74"/>
  <c r="G145" i="74" s="1"/>
  <c r="F82" i="74"/>
  <c r="F145" i="74" s="1"/>
  <c r="K80" i="74"/>
  <c r="K79" i="74"/>
  <c r="K78" i="74"/>
  <c r="K77" i="74"/>
  <c r="K82" i="74" s="1"/>
  <c r="K145" i="74" s="1"/>
  <c r="J74" i="74"/>
  <c r="J144" i="74" s="1"/>
  <c r="H74" i="74"/>
  <c r="H144" i="74" s="1"/>
  <c r="G74" i="74"/>
  <c r="G144" i="74" s="1"/>
  <c r="F74" i="74"/>
  <c r="F144" i="74" s="1"/>
  <c r="K72" i="74"/>
  <c r="K71" i="74"/>
  <c r="K70" i="74"/>
  <c r="K69" i="74"/>
  <c r="I68" i="74"/>
  <c r="I74" i="74" s="1"/>
  <c r="I144" i="74" s="1"/>
  <c r="J64" i="74"/>
  <c r="J143" i="74" s="1"/>
  <c r="I64" i="74"/>
  <c r="I143" i="74" s="1"/>
  <c r="H64" i="74"/>
  <c r="H143" i="74" s="1"/>
  <c r="G64" i="74"/>
  <c r="F64" i="74"/>
  <c r="F143" i="74" s="1"/>
  <c r="K62" i="74"/>
  <c r="K61" i="74"/>
  <c r="K60" i="74"/>
  <c r="K59" i="74"/>
  <c r="K58" i="74"/>
  <c r="K57" i="74"/>
  <c r="K56" i="74"/>
  <c r="K55" i="74"/>
  <c r="K54" i="74"/>
  <c r="K53" i="74"/>
  <c r="K64" i="74" s="1"/>
  <c r="K143" i="74" s="1"/>
  <c r="J49" i="74"/>
  <c r="J142" i="74" s="1"/>
  <c r="H49" i="74"/>
  <c r="H142" i="74" s="1"/>
  <c r="G49" i="74"/>
  <c r="G142" i="74" s="1"/>
  <c r="F49" i="74"/>
  <c r="F142" i="74" s="1"/>
  <c r="K47" i="74"/>
  <c r="K46" i="74"/>
  <c r="K45" i="74"/>
  <c r="K44" i="74"/>
  <c r="K43" i="74"/>
  <c r="K42" i="74"/>
  <c r="I42" i="74"/>
  <c r="I41" i="74"/>
  <c r="K41" i="74" s="1"/>
  <c r="K40" i="74"/>
  <c r="I40" i="74"/>
  <c r="I49" i="74" s="1"/>
  <c r="I142" i="74" s="1"/>
  <c r="J36" i="74"/>
  <c r="J141" i="74" s="1"/>
  <c r="I36" i="74"/>
  <c r="I141" i="74" s="1"/>
  <c r="H36" i="74"/>
  <c r="H141" i="74" s="1"/>
  <c r="G36" i="74"/>
  <c r="G141" i="74" s="1"/>
  <c r="F36" i="74"/>
  <c r="F141" i="74" s="1"/>
  <c r="K34" i="74"/>
  <c r="I34" i="74"/>
  <c r="I33" i="74"/>
  <c r="K33" i="74" s="1"/>
  <c r="K32" i="74"/>
  <c r="I32" i="74"/>
  <c r="I31" i="74"/>
  <c r="K31" i="74" s="1"/>
  <c r="K30" i="74"/>
  <c r="I30" i="74"/>
  <c r="I29" i="74"/>
  <c r="K29" i="74" s="1"/>
  <c r="K28" i="74"/>
  <c r="I28" i="74"/>
  <c r="I27" i="74"/>
  <c r="K27" i="74" s="1"/>
  <c r="K26" i="74"/>
  <c r="I26" i="74"/>
  <c r="I25" i="74"/>
  <c r="K25" i="74" s="1"/>
  <c r="K24" i="74"/>
  <c r="I24" i="74"/>
  <c r="I23" i="74"/>
  <c r="K23" i="74" s="1"/>
  <c r="K22" i="74"/>
  <c r="I22" i="74"/>
  <c r="I21" i="74"/>
  <c r="K21" i="74" s="1"/>
  <c r="K18" i="74"/>
  <c r="K150" i="74" s="1"/>
  <c r="K152" i="99" l="1"/>
  <c r="F152" i="74"/>
  <c r="G152" i="74"/>
  <c r="H152" i="74"/>
  <c r="K108" i="74"/>
  <c r="K147" i="74" s="1"/>
  <c r="I152" i="74"/>
  <c r="J152" i="74"/>
  <c r="K36" i="74"/>
  <c r="K141" i="74" s="1"/>
  <c r="K152" i="74" s="1"/>
  <c r="K49" i="74"/>
  <c r="K142" i="74" s="1"/>
  <c r="K86" i="74"/>
  <c r="K98" i="74" s="1"/>
  <c r="K146" i="74" s="1"/>
  <c r="I108" i="74"/>
  <c r="I147" i="74" s="1"/>
  <c r="K68" i="74"/>
  <c r="K74" i="74" s="1"/>
  <c r="K144" i="74" s="1"/>
  <c r="F155" i="99" l="1"/>
  <c r="F154" i="99"/>
  <c r="F155" i="74"/>
  <c r="F154" i="74"/>
  <c r="J150" i="98" l="1"/>
  <c r="I150" i="98"/>
  <c r="H150" i="98"/>
  <c r="H149" i="98"/>
  <c r="K148" i="98"/>
  <c r="G147" i="98"/>
  <c r="I144" i="98"/>
  <c r="G143" i="98"/>
  <c r="J137" i="98"/>
  <c r="J149" i="98" s="1"/>
  <c r="I137" i="98"/>
  <c r="I149" i="98" s="1"/>
  <c r="H137" i="98"/>
  <c r="G137" i="98"/>
  <c r="G149" i="98" s="1"/>
  <c r="F137" i="98"/>
  <c r="F149" i="98" s="1"/>
  <c r="K135" i="98"/>
  <c r="K134" i="98"/>
  <c r="K133" i="98"/>
  <c r="K132" i="98"/>
  <c r="K131" i="98"/>
  <c r="K137" i="98" s="1"/>
  <c r="K149" i="98" s="1"/>
  <c r="F125" i="98"/>
  <c r="F119" i="98"/>
  <c r="F123" i="98" s="1"/>
  <c r="F127" i="98" s="1"/>
  <c r="F118" i="98"/>
  <c r="J108" i="98"/>
  <c r="J147" i="98" s="1"/>
  <c r="I108" i="98"/>
  <c r="I147" i="98" s="1"/>
  <c r="H108" i="98"/>
  <c r="H147" i="98" s="1"/>
  <c r="G108" i="98"/>
  <c r="F108" i="98"/>
  <c r="F147" i="98" s="1"/>
  <c r="K106" i="98"/>
  <c r="I106" i="98"/>
  <c r="I105" i="98"/>
  <c r="K105" i="98" s="1"/>
  <c r="K104" i="98"/>
  <c r="I104" i="98"/>
  <c r="K103" i="98"/>
  <c r="I103" i="98"/>
  <c r="K102" i="98"/>
  <c r="J98" i="98"/>
  <c r="J146" i="98" s="1"/>
  <c r="H98" i="98"/>
  <c r="H146" i="98" s="1"/>
  <c r="G98" i="98"/>
  <c r="G146" i="98" s="1"/>
  <c r="F98" i="98"/>
  <c r="F146" i="98" s="1"/>
  <c r="I96" i="98"/>
  <c r="K96" i="98" s="1"/>
  <c r="I95" i="98"/>
  <c r="K95" i="98" s="1"/>
  <c r="I94" i="98"/>
  <c r="I98" i="98" s="1"/>
  <c r="I146" i="98" s="1"/>
  <c r="K93" i="98"/>
  <c r="K92" i="98"/>
  <c r="K91" i="98"/>
  <c r="K90" i="98"/>
  <c r="K89" i="98"/>
  <c r="K88" i="98"/>
  <c r="K87" i="98"/>
  <c r="K86" i="98"/>
  <c r="J82" i="98"/>
  <c r="J145" i="98" s="1"/>
  <c r="I82" i="98"/>
  <c r="I145" i="98" s="1"/>
  <c r="H82" i="98"/>
  <c r="H145" i="98" s="1"/>
  <c r="G82" i="98"/>
  <c r="G145" i="98" s="1"/>
  <c r="F82" i="98"/>
  <c r="F145" i="98" s="1"/>
  <c r="K80" i="98"/>
  <c r="K79" i="98"/>
  <c r="K78" i="98"/>
  <c r="K77" i="98"/>
  <c r="K82" i="98" s="1"/>
  <c r="K145" i="98" s="1"/>
  <c r="J74" i="98"/>
  <c r="J144" i="98" s="1"/>
  <c r="I74" i="98"/>
  <c r="H74" i="98"/>
  <c r="H144" i="98" s="1"/>
  <c r="G74" i="98"/>
  <c r="G144" i="98" s="1"/>
  <c r="F74" i="98"/>
  <c r="F144" i="98" s="1"/>
  <c r="K72" i="98"/>
  <c r="K71" i="98"/>
  <c r="K70" i="98"/>
  <c r="K69" i="98"/>
  <c r="K68" i="98"/>
  <c r="K74" i="98" s="1"/>
  <c r="K144" i="98" s="1"/>
  <c r="J64" i="98"/>
  <c r="J143" i="98" s="1"/>
  <c r="I64" i="98"/>
  <c r="I143" i="98" s="1"/>
  <c r="H64" i="98"/>
  <c r="H143" i="98" s="1"/>
  <c r="G64" i="98"/>
  <c r="F64" i="98"/>
  <c r="F143" i="98" s="1"/>
  <c r="K62" i="98"/>
  <c r="K61" i="98"/>
  <c r="K60" i="98"/>
  <c r="K59" i="98"/>
  <c r="K58" i="98"/>
  <c r="K57" i="98"/>
  <c r="K56" i="98"/>
  <c r="K55" i="98"/>
  <c r="T54" i="98"/>
  <c r="K54" i="98"/>
  <c r="T53" i="98"/>
  <c r="K53" i="98"/>
  <c r="K64" i="98" s="1"/>
  <c r="K143" i="98" s="1"/>
  <c r="J49" i="98"/>
  <c r="J142" i="98" s="1"/>
  <c r="H49" i="98"/>
  <c r="H142" i="98" s="1"/>
  <c r="G49" i="98"/>
  <c r="G142" i="98" s="1"/>
  <c r="F49" i="98"/>
  <c r="F142" i="98" s="1"/>
  <c r="K47" i="98"/>
  <c r="K46" i="98"/>
  <c r="K45" i="98"/>
  <c r="K44" i="98"/>
  <c r="K43" i="98"/>
  <c r="K42" i="98"/>
  <c r="K41" i="98"/>
  <c r="I40" i="98"/>
  <c r="I49" i="98" s="1"/>
  <c r="I142" i="98" s="1"/>
  <c r="J36" i="98"/>
  <c r="J141" i="98" s="1"/>
  <c r="H36" i="98"/>
  <c r="H141" i="98" s="1"/>
  <c r="G36" i="98"/>
  <c r="G141" i="98" s="1"/>
  <c r="F36" i="98"/>
  <c r="F141" i="98" s="1"/>
  <c r="I34" i="98"/>
  <c r="K34" i="98" s="1"/>
  <c r="I33" i="98"/>
  <c r="K33" i="98" s="1"/>
  <c r="I32" i="98"/>
  <c r="K32" i="98" s="1"/>
  <c r="I31" i="98"/>
  <c r="K31" i="98" s="1"/>
  <c r="I30" i="98"/>
  <c r="I36" i="98" s="1"/>
  <c r="I141" i="98" s="1"/>
  <c r="K29" i="98"/>
  <c r="K28" i="98"/>
  <c r="K27" i="98"/>
  <c r="K26" i="98"/>
  <c r="K25" i="98"/>
  <c r="K24" i="98"/>
  <c r="K23" i="98"/>
  <c r="K22" i="98"/>
  <c r="K21" i="98"/>
  <c r="K18" i="98"/>
  <c r="K150" i="98" s="1"/>
  <c r="F152" i="98" l="1"/>
  <c r="G152" i="98"/>
  <c r="H152" i="98"/>
  <c r="I152" i="98"/>
  <c r="J152" i="98"/>
  <c r="K108" i="98"/>
  <c r="K147" i="98" s="1"/>
  <c r="K98" i="98"/>
  <c r="K146" i="98" s="1"/>
  <c r="K94" i="98"/>
  <c r="K30" i="98"/>
  <c r="K36" i="98" s="1"/>
  <c r="K141" i="98" s="1"/>
  <c r="K152" i="98" s="1"/>
  <c r="K40" i="98"/>
  <c r="K49" i="98" s="1"/>
  <c r="K142" i="98" s="1"/>
  <c r="F155" i="98" l="1"/>
  <c r="F154" i="98"/>
  <c r="J150" i="117" l="1"/>
  <c r="I150" i="117"/>
  <c r="H150" i="117"/>
  <c r="H149" i="117"/>
  <c r="K148" i="117"/>
  <c r="F146" i="117"/>
  <c r="J144" i="117"/>
  <c r="I144" i="117"/>
  <c r="G143" i="117"/>
  <c r="J137" i="117"/>
  <c r="J149" i="117" s="1"/>
  <c r="I137" i="117"/>
  <c r="I149" i="117" s="1"/>
  <c r="H137" i="117"/>
  <c r="G137" i="117"/>
  <c r="G149" i="117" s="1"/>
  <c r="F137" i="117"/>
  <c r="F149" i="117" s="1"/>
  <c r="K135" i="117"/>
  <c r="K134" i="117"/>
  <c r="K133" i="117"/>
  <c r="K132" i="117"/>
  <c r="K131" i="117"/>
  <c r="K137" i="117" s="1"/>
  <c r="K149" i="117" s="1"/>
  <c r="F119" i="117"/>
  <c r="F123" i="117" s="1"/>
  <c r="F127" i="117" s="1"/>
  <c r="J108" i="117"/>
  <c r="J147" i="117" s="1"/>
  <c r="H108" i="117"/>
  <c r="H147" i="117" s="1"/>
  <c r="G108" i="117"/>
  <c r="G147" i="117" s="1"/>
  <c r="F108" i="117"/>
  <c r="F147" i="117" s="1"/>
  <c r="I106" i="117"/>
  <c r="K106" i="117" s="1"/>
  <c r="I105" i="117"/>
  <c r="K105" i="117" s="1"/>
  <c r="I104" i="117"/>
  <c r="K104" i="117" s="1"/>
  <c r="K103" i="117"/>
  <c r="I103" i="117"/>
  <c r="I102" i="117"/>
  <c r="K102" i="117" s="1"/>
  <c r="K108" i="117" s="1"/>
  <c r="K147" i="117" s="1"/>
  <c r="J98" i="117"/>
  <c r="J146" i="117" s="1"/>
  <c r="H98" i="117"/>
  <c r="H146" i="117" s="1"/>
  <c r="G98" i="117"/>
  <c r="G146" i="117" s="1"/>
  <c r="F98" i="117"/>
  <c r="I96" i="117"/>
  <c r="K96" i="117" s="1"/>
  <c r="I95" i="117"/>
  <c r="K95" i="117" s="1"/>
  <c r="I94" i="117"/>
  <c r="K94" i="117" s="1"/>
  <c r="K93" i="117"/>
  <c r="I93" i="117"/>
  <c r="I92" i="117"/>
  <c r="K92" i="117" s="1"/>
  <c r="I91" i="117"/>
  <c r="K91" i="117" s="1"/>
  <c r="I90" i="117"/>
  <c r="K90" i="117" s="1"/>
  <c r="K89" i="117"/>
  <c r="I89" i="117"/>
  <c r="I88" i="117"/>
  <c r="K88" i="117" s="1"/>
  <c r="I87" i="117"/>
  <c r="K87" i="117" s="1"/>
  <c r="I86" i="117"/>
  <c r="I98" i="117" s="1"/>
  <c r="I146" i="117" s="1"/>
  <c r="J82" i="117"/>
  <c r="J145" i="117" s="1"/>
  <c r="I82" i="117"/>
  <c r="I145" i="117" s="1"/>
  <c r="H82" i="117"/>
  <c r="H145" i="117" s="1"/>
  <c r="G82" i="117"/>
  <c r="G145" i="117" s="1"/>
  <c r="F82" i="117"/>
  <c r="F145" i="117" s="1"/>
  <c r="K80" i="117"/>
  <c r="K79" i="117"/>
  <c r="K78" i="117"/>
  <c r="K82" i="117" s="1"/>
  <c r="K145" i="117" s="1"/>
  <c r="K77" i="117"/>
  <c r="J74" i="117"/>
  <c r="I74" i="117"/>
  <c r="H74" i="117"/>
  <c r="H144" i="117" s="1"/>
  <c r="G74" i="117"/>
  <c r="G144" i="117" s="1"/>
  <c r="F74" i="117"/>
  <c r="F144" i="117" s="1"/>
  <c r="K72" i="117"/>
  <c r="K71" i="117"/>
  <c r="K70" i="117"/>
  <c r="K69" i="117"/>
  <c r="K68" i="117"/>
  <c r="K74" i="117" s="1"/>
  <c r="K144" i="117" s="1"/>
  <c r="J64" i="117"/>
  <c r="J143" i="117" s="1"/>
  <c r="I64" i="117"/>
  <c r="I143" i="117" s="1"/>
  <c r="H64" i="117"/>
  <c r="H143" i="117" s="1"/>
  <c r="G64" i="117"/>
  <c r="F64" i="117"/>
  <c r="F143" i="117" s="1"/>
  <c r="K62" i="117"/>
  <c r="K61" i="117"/>
  <c r="K60" i="117"/>
  <c r="K59" i="117"/>
  <c r="K58" i="117"/>
  <c r="K57" i="117"/>
  <c r="K56" i="117"/>
  <c r="K55" i="117"/>
  <c r="K54" i="117"/>
  <c r="K53" i="117"/>
  <c r="K64" i="117" s="1"/>
  <c r="K143" i="117" s="1"/>
  <c r="J49" i="117"/>
  <c r="J142" i="117" s="1"/>
  <c r="I49" i="117"/>
  <c r="I142" i="117" s="1"/>
  <c r="H49" i="117"/>
  <c r="H142" i="117" s="1"/>
  <c r="G49" i="117"/>
  <c r="G142" i="117" s="1"/>
  <c r="K47" i="117"/>
  <c r="K46" i="117"/>
  <c r="K45" i="117"/>
  <c r="K44" i="117"/>
  <c r="K43" i="117"/>
  <c r="K42" i="117"/>
  <c r="H42" i="117"/>
  <c r="F42" i="117"/>
  <c r="F49" i="117" s="1"/>
  <c r="F142" i="117" s="1"/>
  <c r="K41" i="117"/>
  <c r="K40" i="117"/>
  <c r="K49" i="117" s="1"/>
  <c r="K142" i="117" s="1"/>
  <c r="J36" i="117"/>
  <c r="J141" i="117" s="1"/>
  <c r="H36" i="117"/>
  <c r="H141" i="117" s="1"/>
  <c r="H152" i="117" s="1"/>
  <c r="G36" i="117"/>
  <c r="G141" i="117" s="1"/>
  <c r="F36" i="117"/>
  <c r="F141" i="117" s="1"/>
  <c r="I34" i="117"/>
  <c r="K34" i="117" s="1"/>
  <c r="I33" i="117"/>
  <c r="K33" i="117" s="1"/>
  <c r="I32" i="117"/>
  <c r="K32" i="117" s="1"/>
  <c r="I31" i="117"/>
  <c r="K31" i="117" s="1"/>
  <c r="I30" i="117"/>
  <c r="K30" i="117" s="1"/>
  <c r="I29" i="117"/>
  <c r="K29" i="117" s="1"/>
  <c r="I28" i="117"/>
  <c r="K28" i="117" s="1"/>
  <c r="I27" i="117"/>
  <c r="K27" i="117" s="1"/>
  <c r="I26" i="117"/>
  <c r="K26" i="117" s="1"/>
  <c r="I25" i="117"/>
  <c r="K25" i="117" s="1"/>
  <c r="I24" i="117"/>
  <c r="I36" i="117" s="1"/>
  <c r="I141" i="117" s="1"/>
  <c r="I23" i="117"/>
  <c r="K23" i="117" s="1"/>
  <c r="I22" i="117"/>
  <c r="K22" i="117" s="1"/>
  <c r="I21" i="117"/>
  <c r="K21" i="117" s="1"/>
  <c r="K18" i="117"/>
  <c r="K150" i="117" s="1"/>
  <c r="J152" i="117" l="1"/>
  <c r="F152" i="117"/>
  <c r="G152" i="117"/>
  <c r="K86" i="117"/>
  <c r="K98" i="117" s="1"/>
  <c r="K146" i="117" s="1"/>
  <c r="I108" i="117"/>
  <c r="I147" i="117" s="1"/>
  <c r="I152" i="117" s="1"/>
  <c r="K24" i="117"/>
  <c r="K36" i="117" s="1"/>
  <c r="K141" i="117" s="1"/>
  <c r="K152" i="117" s="1"/>
  <c r="F155" i="117" l="1"/>
  <c r="F154" i="117"/>
  <c r="J150" i="71" l="1"/>
  <c r="I150" i="71"/>
  <c r="H150" i="71"/>
  <c r="I149" i="71"/>
  <c r="G149" i="71"/>
  <c r="K148" i="71"/>
  <c r="H147" i="71"/>
  <c r="J146" i="71"/>
  <c r="G146" i="71"/>
  <c r="F146" i="71"/>
  <c r="J145" i="71"/>
  <c r="H145" i="71"/>
  <c r="J144" i="71"/>
  <c r="H144" i="71"/>
  <c r="F144" i="71"/>
  <c r="H143" i="71"/>
  <c r="J142" i="71"/>
  <c r="G142" i="71"/>
  <c r="F142" i="71"/>
  <c r="J141" i="71"/>
  <c r="H141" i="71"/>
  <c r="J137" i="71"/>
  <c r="J149" i="71" s="1"/>
  <c r="I137" i="71"/>
  <c r="H137" i="71"/>
  <c r="H149" i="71" s="1"/>
  <c r="F137" i="71"/>
  <c r="F149" i="71" s="1"/>
  <c r="K135" i="71"/>
  <c r="K134" i="71"/>
  <c r="K133" i="71"/>
  <c r="K132" i="71"/>
  <c r="K131" i="71"/>
  <c r="K137" i="71" s="1"/>
  <c r="K149" i="71" s="1"/>
  <c r="F118" i="71"/>
  <c r="F119" i="71" s="1"/>
  <c r="F123" i="71" s="1"/>
  <c r="F127" i="71" s="1"/>
  <c r="F117" i="71"/>
  <c r="J108" i="71"/>
  <c r="J147" i="71" s="1"/>
  <c r="I108" i="71"/>
  <c r="I147" i="71" s="1"/>
  <c r="H108" i="71"/>
  <c r="G108" i="71"/>
  <c r="G147" i="71" s="1"/>
  <c r="F108" i="71"/>
  <c r="F147" i="71" s="1"/>
  <c r="K106" i="71"/>
  <c r="I105" i="71"/>
  <c r="K105" i="71" s="1"/>
  <c r="K104" i="71"/>
  <c r="K103" i="71"/>
  <c r="K102" i="71"/>
  <c r="J98" i="71"/>
  <c r="I98" i="71"/>
  <c r="I146" i="71" s="1"/>
  <c r="H98" i="71"/>
  <c r="H146" i="71" s="1"/>
  <c r="G98" i="71"/>
  <c r="F98" i="71"/>
  <c r="K96" i="71"/>
  <c r="I96" i="71"/>
  <c r="I95" i="71"/>
  <c r="K95" i="71" s="1"/>
  <c r="K94" i="71"/>
  <c r="I94" i="71"/>
  <c r="I93" i="71"/>
  <c r="K93" i="71" s="1"/>
  <c r="K92" i="71"/>
  <c r="I92" i="71"/>
  <c r="K91" i="71"/>
  <c r="I90" i="71"/>
  <c r="K90" i="71" s="1"/>
  <c r="I89" i="71"/>
  <c r="K89" i="71" s="1"/>
  <c r="K88" i="71"/>
  <c r="K87" i="71"/>
  <c r="I87" i="71"/>
  <c r="I86" i="71"/>
  <c r="K86" i="71" s="1"/>
  <c r="K98" i="71" s="1"/>
  <c r="K146" i="71" s="1"/>
  <c r="J82" i="71"/>
  <c r="I82" i="71"/>
  <c r="I145" i="71" s="1"/>
  <c r="H82" i="71"/>
  <c r="G82" i="71"/>
  <c r="G145" i="71" s="1"/>
  <c r="F82" i="71"/>
  <c r="F145" i="71" s="1"/>
  <c r="K80" i="71"/>
  <c r="K79" i="71"/>
  <c r="K78" i="71"/>
  <c r="K82" i="71" s="1"/>
  <c r="K145" i="71" s="1"/>
  <c r="K77" i="71"/>
  <c r="J74" i="71"/>
  <c r="I74" i="71"/>
  <c r="I144" i="71" s="1"/>
  <c r="H74" i="71"/>
  <c r="G74" i="71"/>
  <c r="G144" i="71" s="1"/>
  <c r="F74" i="71"/>
  <c r="K72" i="71"/>
  <c r="K71" i="71"/>
  <c r="K70" i="71"/>
  <c r="K69" i="71"/>
  <c r="K68" i="71"/>
  <c r="K74" i="71" s="1"/>
  <c r="K144" i="71" s="1"/>
  <c r="B66" i="71"/>
  <c r="J64" i="71"/>
  <c r="J143" i="71" s="1"/>
  <c r="I64" i="71"/>
  <c r="I143" i="71" s="1"/>
  <c r="H64" i="71"/>
  <c r="G64" i="71"/>
  <c r="G143" i="71" s="1"/>
  <c r="F64" i="71"/>
  <c r="F143" i="71" s="1"/>
  <c r="K62" i="71"/>
  <c r="K61" i="71"/>
  <c r="K60" i="71"/>
  <c r="K59" i="71"/>
  <c r="K58" i="71"/>
  <c r="K57" i="71"/>
  <c r="K56" i="71"/>
  <c r="K55" i="71"/>
  <c r="K54" i="71"/>
  <c r="K64" i="71" s="1"/>
  <c r="K143" i="71" s="1"/>
  <c r="K53" i="71"/>
  <c r="J49" i="71"/>
  <c r="I49" i="71"/>
  <c r="I142" i="71" s="1"/>
  <c r="H49" i="71"/>
  <c r="H142" i="71" s="1"/>
  <c r="G49" i="71"/>
  <c r="F49" i="71"/>
  <c r="K47" i="71"/>
  <c r="K46" i="71"/>
  <c r="K45" i="71"/>
  <c r="K44" i="71"/>
  <c r="K43" i="71"/>
  <c r="K49" i="71" s="1"/>
  <c r="K142" i="71" s="1"/>
  <c r="K42" i="71"/>
  <c r="K41" i="71"/>
  <c r="K40" i="71"/>
  <c r="J36" i="71"/>
  <c r="H36" i="71"/>
  <c r="G36" i="71"/>
  <c r="G141" i="71" s="1"/>
  <c r="F36" i="71"/>
  <c r="F141" i="71" s="1"/>
  <c r="I34" i="71"/>
  <c r="K34" i="71" s="1"/>
  <c r="K33" i="71"/>
  <c r="I33" i="71"/>
  <c r="I32" i="71"/>
  <c r="K32" i="71" s="1"/>
  <c r="K31" i="71"/>
  <c r="I31" i="71"/>
  <c r="I30" i="71"/>
  <c r="K30" i="71" s="1"/>
  <c r="K29" i="71"/>
  <c r="I28" i="71"/>
  <c r="K28" i="71" s="1"/>
  <c r="I27" i="71"/>
  <c r="K27" i="71" s="1"/>
  <c r="K26" i="71"/>
  <c r="K25" i="71"/>
  <c r="K24" i="71"/>
  <c r="K23" i="71"/>
  <c r="K22" i="71"/>
  <c r="K21" i="71"/>
  <c r="K18" i="71"/>
  <c r="K150" i="71" s="1"/>
  <c r="K36" i="71" l="1"/>
  <c r="K141" i="71" s="1"/>
  <c r="H152" i="71"/>
  <c r="J152" i="71"/>
  <c r="F152" i="71"/>
  <c r="K108" i="71"/>
  <c r="K147" i="71" s="1"/>
  <c r="G152" i="71"/>
  <c r="I36" i="71"/>
  <c r="I141" i="71" s="1"/>
  <c r="I152" i="71" s="1"/>
  <c r="K152" i="71" l="1"/>
  <c r="F154" i="71" l="1"/>
  <c r="F155" i="71"/>
  <c r="J150" i="97" l="1"/>
  <c r="I150" i="97"/>
  <c r="H150" i="97"/>
  <c r="H149" i="97"/>
  <c r="K148" i="97"/>
  <c r="G143" i="97"/>
  <c r="J137" i="97"/>
  <c r="J149" i="97" s="1"/>
  <c r="I137" i="97"/>
  <c r="I149" i="97" s="1"/>
  <c r="H137" i="97"/>
  <c r="G137" i="97"/>
  <c r="G149" i="97" s="1"/>
  <c r="F137" i="97"/>
  <c r="F149" i="97" s="1"/>
  <c r="K135" i="97"/>
  <c r="K134" i="97"/>
  <c r="K133" i="97"/>
  <c r="K132" i="97"/>
  <c r="K131" i="97"/>
  <c r="K137" i="97" s="1"/>
  <c r="K149" i="97" s="1"/>
  <c r="F119" i="97"/>
  <c r="F123" i="97" s="1"/>
  <c r="F127" i="97" s="1"/>
  <c r="J108" i="97"/>
  <c r="J147" i="97" s="1"/>
  <c r="H108" i="97"/>
  <c r="H147" i="97" s="1"/>
  <c r="G108" i="97"/>
  <c r="G147" i="97" s="1"/>
  <c r="F108" i="97"/>
  <c r="F147" i="97" s="1"/>
  <c r="I106" i="97"/>
  <c r="K106" i="97" s="1"/>
  <c r="I105" i="97"/>
  <c r="K105" i="97" s="1"/>
  <c r="I104" i="97"/>
  <c r="I108" i="97" s="1"/>
  <c r="I147" i="97" s="1"/>
  <c r="K103" i="97"/>
  <c r="I103" i="97"/>
  <c r="I102" i="97"/>
  <c r="K102" i="97" s="1"/>
  <c r="J98" i="97"/>
  <c r="J146" i="97" s="1"/>
  <c r="H98" i="97"/>
  <c r="H146" i="97" s="1"/>
  <c r="G98" i="97"/>
  <c r="G146" i="97" s="1"/>
  <c r="F98" i="97"/>
  <c r="F146" i="97" s="1"/>
  <c r="I96" i="97"/>
  <c r="K96" i="97" s="1"/>
  <c r="I95" i="97"/>
  <c r="K95" i="97" s="1"/>
  <c r="I94" i="97"/>
  <c r="K94" i="97" s="1"/>
  <c r="K93" i="97"/>
  <c r="I93" i="97"/>
  <c r="I92" i="97"/>
  <c r="K92" i="97" s="1"/>
  <c r="I91" i="97"/>
  <c r="K91" i="97" s="1"/>
  <c r="I90" i="97"/>
  <c r="K90" i="97" s="1"/>
  <c r="K89" i="97"/>
  <c r="I89" i="97"/>
  <c r="I88" i="97"/>
  <c r="K88" i="97" s="1"/>
  <c r="I87" i="97"/>
  <c r="K87" i="97" s="1"/>
  <c r="I86" i="97"/>
  <c r="I98" i="97" s="1"/>
  <c r="I146" i="97" s="1"/>
  <c r="J82" i="97"/>
  <c r="J145" i="97" s="1"/>
  <c r="I82" i="97"/>
  <c r="I145" i="97" s="1"/>
  <c r="H82" i="97"/>
  <c r="H145" i="97" s="1"/>
  <c r="G82" i="97"/>
  <c r="G145" i="97" s="1"/>
  <c r="F82" i="97"/>
  <c r="F145" i="97" s="1"/>
  <c r="K80" i="97"/>
  <c r="K79" i="97"/>
  <c r="K78" i="97"/>
  <c r="K82" i="97" s="1"/>
  <c r="K145" i="97" s="1"/>
  <c r="K77" i="97"/>
  <c r="J74" i="97"/>
  <c r="J144" i="97" s="1"/>
  <c r="H74" i="97"/>
  <c r="H144" i="97" s="1"/>
  <c r="G74" i="97"/>
  <c r="G144" i="97" s="1"/>
  <c r="F74" i="97"/>
  <c r="F144" i="97" s="1"/>
  <c r="K72" i="97"/>
  <c r="K71" i="97"/>
  <c r="K70" i="97"/>
  <c r="I69" i="97"/>
  <c r="K69" i="97" s="1"/>
  <c r="K68" i="97"/>
  <c r="K74" i="97" s="1"/>
  <c r="K144" i="97" s="1"/>
  <c r="I68" i="97"/>
  <c r="I74" i="97" s="1"/>
  <c r="I144" i="97" s="1"/>
  <c r="J64" i="97"/>
  <c r="J143" i="97" s="1"/>
  <c r="H64" i="97"/>
  <c r="H143" i="97" s="1"/>
  <c r="G64" i="97"/>
  <c r="F64" i="97"/>
  <c r="F143" i="97" s="1"/>
  <c r="K62" i="97"/>
  <c r="K61" i="97"/>
  <c r="K60" i="97"/>
  <c r="K59" i="97"/>
  <c r="K58" i="97"/>
  <c r="K57" i="97"/>
  <c r="K56" i="97"/>
  <c r="I55" i="97"/>
  <c r="I64" i="97" s="1"/>
  <c r="I143" i="97" s="1"/>
  <c r="K54" i="97"/>
  <c r="K53" i="97"/>
  <c r="J49" i="97"/>
  <c r="J142" i="97" s="1"/>
  <c r="H49" i="97"/>
  <c r="H142" i="97" s="1"/>
  <c r="G49" i="97"/>
  <c r="G142" i="97" s="1"/>
  <c r="K47" i="97"/>
  <c r="K46" i="97"/>
  <c r="K45" i="97"/>
  <c r="K44" i="97"/>
  <c r="K43" i="97"/>
  <c r="I42" i="97"/>
  <c r="K42" i="97" s="1"/>
  <c r="F42" i="97"/>
  <c r="F49" i="97" s="1"/>
  <c r="F142" i="97" s="1"/>
  <c r="I41" i="97"/>
  <c r="I49" i="97" s="1"/>
  <c r="I142" i="97" s="1"/>
  <c r="K40" i="97"/>
  <c r="J36" i="97"/>
  <c r="J141" i="97" s="1"/>
  <c r="H36" i="97"/>
  <c r="H141" i="97" s="1"/>
  <c r="G36" i="97"/>
  <c r="G141" i="97" s="1"/>
  <c r="F36" i="97"/>
  <c r="F141" i="97" s="1"/>
  <c r="I34" i="97"/>
  <c r="K34" i="97" s="1"/>
  <c r="I33" i="97"/>
  <c r="K33" i="97" s="1"/>
  <c r="I32" i="97"/>
  <c r="K32" i="97" s="1"/>
  <c r="I31" i="97"/>
  <c r="K31" i="97" s="1"/>
  <c r="I30" i="97"/>
  <c r="K30" i="97" s="1"/>
  <c r="I29" i="97"/>
  <c r="K29" i="97" s="1"/>
  <c r="I28" i="97"/>
  <c r="K28" i="97" s="1"/>
  <c r="I27" i="97"/>
  <c r="K27" i="97" s="1"/>
  <c r="I26" i="97"/>
  <c r="K26" i="97" s="1"/>
  <c r="I25" i="97"/>
  <c r="K25" i="97" s="1"/>
  <c r="I24" i="97"/>
  <c r="K24" i="97" s="1"/>
  <c r="I23" i="97"/>
  <c r="K23" i="97" s="1"/>
  <c r="I22" i="97"/>
  <c r="K22" i="97" s="1"/>
  <c r="I21" i="97"/>
  <c r="K21" i="97" s="1"/>
  <c r="K36" i="97" s="1"/>
  <c r="K141" i="97" s="1"/>
  <c r="K18" i="97"/>
  <c r="K150" i="97" s="1"/>
  <c r="J152" i="97" l="1"/>
  <c r="H152" i="97"/>
  <c r="F152" i="97"/>
  <c r="K64" i="97"/>
  <c r="K143" i="97" s="1"/>
  <c r="K108" i="97"/>
  <c r="K147" i="97" s="1"/>
  <c r="G152" i="97"/>
  <c r="K41" i="97"/>
  <c r="K49" i="97" s="1"/>
  <c r="K142" i="97" s="1"/>
  <c r="K152" i="97" s="1"/>
  <c r="K86" i="97"/>
  <c r="K98" i="97" s="1"/>
  <c r="K146" i="97" s="1"/>
  <c r="K104" i="97"/>
  <c r="K55" i="97"/>
  <c r="I36" i="97"/>
  <c r="I141" i="97" s="1"/>
  <c r="I152" i="97" s="1"/>
  <c r="F155" i="97" l="1"/>
  <c r="F154" i="97"/>
  <c r="J150" i="96" l="1"/>
  <c r="I150" i="96"/>
  <c r="H150" i="96"/>
  <c r="H149" i="96"/>
  <c r="K148" i="96"/>
  <c r="I144" i="96"/>
  <c r="G143" i="96"/>
  <c r="J137" i="96"/>
  <c r="J149" i="96" s="1"/>
  <c r="I137" i="96"/>
  <c r="I149" i="96" s="1"/>
  <c r="H137" i="96"/>
  <c r="G137" i="96"/>
  <c r="G149" i="96" s="1"/>
  <c r="F137" i="96"/>
  <c r="F149" i="96" s="1"/>
  <c r="K135" i="96"/>
  <c r="K134" i="96"/>
  <c r="K133" i="96"/>
  <c r="K132" i="96"/>
  <c r="K131" i="96"/>
  <c r="K137" i="96" s="1"/>
  <c r="K149" i="96" s="1"/>
  <c r="F119" i="96"/>
  <c r="F123" i="96" s="1"/>
  <c r="F127" i="96" s="1"/>
  <c r="J108" i="96"/>
  <c r="J147" i="96" s="1"/>
  <c r="H108" i="96"/>
  <c r="H147" i="96" s="1"/>
  <c r="G108" i="96"/>
  <c r="G147" i="96" s="1"/>
  <c r="F108" i="96"/>
  <c r="F147" i="96" s="1"/>
  <c r="I106" i="96"/>
  <c r="K106" i="96" s="1"/>
  <c r="I105" i="96"/>
  <c r="K105" i="96" s="1"/>
  <c r="K104" i="96"/>
  <c r="I104" i="96"/>
  <c r="I108" i="96" s="1"/>
  <c r="I147" i="96" s="1"/>
  <c r="K103" i="96"/>
  <c r="I103" i="96"/>
  <c r="I102" i="96"/>
  <c r="K102" i="96" s="1"/>
  <c r="J98" i="96"/>
  <c r="J146" i="96" s="1"/>
  <c r="H98" i="96"/>
  <c r="H146" i="96" s="1"/>
  <c r="G98" i="96"/>
  <c r="G146" i="96" s="1"/>
  <c r="F98" i="96"/>
  <c r="F146" i="96" s="1"/>
  <c r="I96" i="96"/>
  <c r="K96" i="96" s="1"/>
  <c r="I95" i="96"/>
  <c r="K95" i="96" s="1"/>
  <c r="K94" i="96"/>
  <c r="I94" i="96"/>
  <c r="K93" i="96"/>
  <c r="I93" i="96"/>
  <c r="I92" i="96"/>
  <c r="K92" i="96" s="1"/>
  <c r="I91" i="96"/>
  <c r="K91" i="96" s="1"/>
  <c r="K90" i="96"/>
  <c r="I90" i="96"/>
  <c r="K89" i="96"/>
  <c r="I89" i="96"/>
  <c r="I88" i="96"/>
  <c r="K88" i="96" s="1"/>
  <c r="I87" i="96"/>
  <c r="K87" i="96" s="1"/>
  <c r="K86" i="96"/>
  <c r="I86" i="96"/>
  <c r="I98" i="96" s="1"/>
  <c r="I146" i="96" s="1"/>
  <c r="J82" i="96"/>
  <c r="J145" i="96" s="1"/>
  <c r="I82" i="96"/>
  <c r="I145" i="96" s="1"/>
  <c r="H82" i="96"/>
  <c r="H145" i="96" s="1"/>
  <c r="G82" i="96"/>
  <c r="G145" i="96" s="1"/>
  <c r="F82" i="96"/>
  <c r="F145" i="96" s="1"/>
  <c r="K80" i="96"/>
  <c r="K79" i="96"/>
  <c r="K78" i="96"/>
  <c r="K82" i="96" s="1"/>
  <c r="K145" i="96" s="1"/>
  <c r="K77" i="96"/>
  <c r="J74" i="96"/>
  <c r="J144" i="96" s="1"/>
  <c r="I74" i="96"/>
  <c r="H74" i="96"/>
  <c r="H144" i="96" s="1"/>
  <c r="G74" i="96"/>
  <c r="G144" i="96" s="1"/>
  <c r="F74" i="96"/>
  <c r="F144" i="96" s="1"/>
  <c r="K72" i="96"/>
  <c r="K71" i="96"/>
  <c r="K70" i="96"/>
  <c r="K69" i="96"/>
  <c r="K68" i="96"/>
  <c r="K74" i="96" s="1"/>
  <c r="K144" i="96" s="1"/>
  <c r="J64" i="96"/>
  <c r="J143" i="96" s="1"/>
  <c r="I64" i="96"/>
  <c r="I143" i="96" s="1"/>
  <c r="H64" i="96"/>
  <c r="H143" i="96" s="1"/>
  <c r="G64" i="96"/>
  <c r="F64" i="96"/>
  <c r="F143" i="96" s="1"/>
  <c r="K62" i="96"/>
  <c r="K61" i="96"/>
  <c r="K60" i="96"/>
  <c r="K59" i="96"/>
  <c r="K58" i="96"/>
  <c r="K57" i="96"/>
  <c r="K56" i="96"/>
  <c r="K55" i="96"/>
  <c r="K54" i="96"/>
  <c r="K53" i="96"/>
  <c r="K64" i="96" s="1"/>
  <c r="K143" i="96" s="1"/>
  <c r="J49" i="96"/>
  <c r="J142" i="96" s="1"/>
  <c r="I49" i="96"/>
  <c r="I142" i="96" s="1"/>
  <c r="H49" i="96"/>
  <c r="H142" i="96" s="1"/>
  <c r="G49" i="96"/>
  <c r="G142" i="96" s="1"/>
  <c r="F49" i="96"/>
  <c r="F142" i="96" s="1"/>
  <c r="K47" i="96"/>
  <c r="K46" i="96"/>
  <c r="K45" i="96"/>
  <c r="K44" i="96"/>
  <c r="K43" i="96"/>
  <c r="K42" i="96"/>
  <c r="K49" i="96" s="1"/>
  <c r="K142" i="96" s="1"/>
  <c r="K41" i="96"/>
  <c r="K40" i="96"/>
  <c r="J36" i="96"/>
  <c r="J141" i="96" s="1"/>
  <c r="H36" i="96"/>
  <c r="H141" i="96" s="1"/>
  <c r="G36" i="96"/>
  <c r="G141" i="96" s="1"/>
  <c r="F36" i="96"/>
  <c r="F141" i="96" s="1"/>
  <c r="K34" i="96"/>
  <c r="I34" i="96"/>
  <c r="I33" i="96"/>
  <c r="K33" i="96" s="1"/>
  <c r="I32" i="96"/>
  <c r="K32" i="96" s="1"/>
  <c r="I31" i="96"/>
  <c r="K31" i="96" s="1"/>
  <c r="K30" i="96"/>
  <c r="I30" i="96"/>
  <c r="I29" i="96"/>
  <c r="K29" i="96" s="1"/>
  <c r="I28" i="96"/>
  <c r="K28" i="96" s="1"/>
  <c r="I27" i="96"/>
  <c r="K27" i="96" s="1"/>
  <c r="K26" i="96"/>
  <c r="I26" i="96"/>
  <c r="I25" i="96"/>
  <c r="K25" i="96" s="1"/>
  <c r="I24" i="96"/>
  <c r="K24" i="96" s="1"/>
  <c r="I23" i="96"/>
  <c r="K23" i="96" s="1"/>
  <c r="K22" i="96"/>
  <c r="I22" i="96"/>
  <c r="I21" i="96"/>
  <c r="K21" i="96" s="1"/>
  <c r="K18" i="96"/>
  <c r="K150" i="96" s="1"/>
  <c r="K108" i="96" l="1"/>
  <c r="K147" i="96" s="1"/>
  <c r="K98" i="96"/>
  <c r="K146" i="96" s="1"/>
  <c r="F152" i="96"/>
  <c r="K36" i="96"/>
  <c r="K141" i="96" s="1"/>
  <c r="K152" i="96" s="1"/>
  <c r="H152" i="96"/>
  <c r="G152" i="96"/>
  <c r="J152" i="96"/>
  <c r="I36" i="96"/>
  <c r="I141" i="96" s="1"/>
  <c r="I152" i="96" s="1"/>
  <c r="F155" i="96" l="1"/>
  <c r="F154" i="96"/>
  <c r="J150" i="70" l="1"/>
  <c r="I150" i="70"/>
  <c r="H150" i="70"/>
  <c r="J149" i="70"/>
  <c r="H149" i="70"/>
  <c r="F149" i="70"/>
  <c r="K148" i="70"/>
  <c r="G147" i="70"/>
  <c r="G146" i="70"/>
  <c r="I145" i="70"/>
  <c r="I144" i="70"/>
  <c r="G144" i="70"/>
  <c r="J137" i="70"/>
  <c r="I137" i="70"/>
  <c r="I149" i="70" s="1"/>
  <c r="H137" i="70"/>
  <c r="G137" i="70"/>
  <c r="G149" i="70" s="1"/>
  <c r="F137" i="70"/>
  <c r="K135" i="70"/>
  <c r="K134" i="70"/>
  <c r="K133" i="70"/>
  <c r="K132" i="70"/>
  <c r="K131" i="70"/>
  <c r="K137" i="70" s="1"/>
  <c r="K149" i="70" s="1"/>
  <c r="F127" i="70"/>
  <c r="F119" i="70"/>
  <c r="J108" i="70"/>
  <c r="J147" i="70" s="1"/>
  <c r="H108" i="70"/>
  <c r="H147" i="70" s="1"/>
  <c r="G108" i="70"/>
  <c r="F108" i="70"/>
  <c r="F147" i="70" s="1"/>
  <c r="I106" i="70"/>
  <c r="K106" i="70" s="1"/>
  <c r="I105" i="70"/>
  <c r="K105" i="70" s="1"/>
  <c r="I104" i="70"/>
  <c r="K104" i="70" s="1"/>
  <c r="I103" i="70"/>
  <c r="K103" i="70" s="1"/>
  <c r="I102" i="70"/>
  <c r="K102" i="70" s="1"/>
  <c r="J98" i="70"/>
  <c r="J146" i="70" s="1"/>
  <c r="H98" i="70"/>
  <c r="H146" i="70" s="1"/>
  <c r="G98" i="70"/>
  <c r="F98" i="70"/>
  <c r="F146" i="70" s="1"/>
  <c r="I96" i="70"/>
  <c r="K96" i="70" s="1"/>
  <c r="I95" i="70"/>
  <c r="K95" i="70" s="1"/>
  <c r="I94" i="70"/>
  <c r="K94" i="70" s="1"/>
  <c r="I93" i="70"/>
  <c r="K93" i="70" s="1"/>
  <c r="I92" i="70"/>
  <c r="K92" i="70" s="1"/>
  <c r="I91" i="70"/>
  <c r="K91" i="70" s="1"/>
  <c r="I90" i="70"/>
  <c r="K90" i="70" s="1"/>
  <c r="I89" i="70"/>
  <c r="K89" i="70" s="1"/>
  <c r="I88" i="70"/>
  <c r="K88" i="70" s="1"/>
  <c r="I87" i="70"/>
  <c r="K87" i="70" s="1"/>
  <c r="I86" i="70"/>
  <c r="I98" i="70" s="1"/>
  <c r="I146" i="70" s="1"/>
  <c r="J82" i="70"/>
  <c r="J145" i="70" s="1"/>
  <c r="I82" i="70"/>
  <c r="H82" i="70"/>
  <c r="H145" i="70" s="1"/>
  <c r="G82" i="70"/>
  <c r="G145" i="70" s="1"/>
  <c r="F82" i="70"/>
  <c r="F145" i="70" s="1"/>
  <c r="K80" i="70"/>
  <c r="K79" i="70"/>
  <c r="K78" i="70"/>
  <c r="K77" i="70"/>
  <c r="K82" i="70" s="1"/>
  <c r="K145" i="70" s="1"/>
  <c r="J74" i="70"/>
  <c r="J144" i="70" s="1"/>
  <c r="I74" i="70"/>
  <c r="H74" i="70"/>
  <c r="H144" i="70" s="1"/>
  <c r="G74" i="70"/>
  <c r="F74" i="70"/>
  <c r="F144" i="70" s="1"/>
  <c r="K72" i="70"/>
  <c r="K71" i="70"/>
  <c r="K70" i="70"/>
  <c r="K69" i="70"/>
  <c r="K68" i="70"/>
  <c r="K74" i="70" s="1"/>
  <c r="K144" i="70" s="1"/>
  <c r="J64" i="70"/>
  <c r="J143" i="70" s="1"/>
  <c r="I64" i="70"/>
  <c r="I143" i="70" s="1"/>
  <c r="H64" i="70"/>
  <c r="H143" i="70" s="1"/>
  <c r="G64" i="70"/>
  <c r="G143" i="70" s="1"/>
  <c r="F64" i="70"/>
  <c r="F143" i="70" s="1"/>
  <c r="K62" i="70"/>
  <c r="K61" i="70"/>
  <c r="K60" i="70"/>
  <c r="K59" i="70"/>
  <c r="K58" i="70"/>
  <c r="K57" i="70"/>
  <c r="K56" i="70"/>
  <c r="K55" i="70"/>
  <c r="K54" i="70"/>
  <c r="K64" i="70" s="1"/>
  <c r="K143" i="70" s="1"/>
  <c r="K53" i="70"/>
  <c r="J49" i="70"/>
  <c r="J142" i="70" s="1"/>
  <c r="I49" i="70"/>
  <c r="I142" i="70" s="1"/>
  <c r="H49" i="70"/>
  <c r="H142" i="70" s="1"/>
  <c r="G49" i="70"/>
  <c r="G142" i="70" s="1"/>
  <c r="F49" i="70"/>
  <c r="F142" i="70" s="1"/>
  <c r="K47" i="70"/>
  <c r="K46" i="70"/>
  <c r="K45" i="70"/>
  <c r="K44" i="70"/>
  <c r="K43" i="70"/>
  <c r="K42" i="70"/>
  <c r="K41" i="70"/>
  <c r="K49" i="70" s="1"/>
  <c r="K142" i="70" s="1"/>
  <c r="K40" i="70"/>
  <c r="J36" i="70"/>
  <c r="J141" i="70" s="1"/>
  <c r="J152" i="70" s="1"/>
  <c r="H36" i="70"/>
  <c r="H141" i="70" s="1"/>
  <c r="G36" i="70"/>
  <c r="G141" i="70" s="1"/>
  <c r="F36" i="70"/>
  <c r="F141" i="70" s="1"/>
  <c r="K34" i="70"/>
  <c r="I34" i="70"/>
  <c r="K33" i="70"/>
  <c r="I33" i="70"/>
  <c r="K32" i="70"/>
  <c r="I32" i="70"/>
  <c r="K31" i="70"/>
  <c r="I31" i="70"/>
  <c r="K30" i="70"/>
  <c r="I30" i="70"/>
  <c r="K29" i="70"/>
  <c r="I29" i="70"/>
  <c r="K28" i="70"/>
  <c r="I28" i="70"/>
  <c r="K27" i="70"/>
  <c r="I27" i="70"/>
  <c r="K26" i="70"/>
  <c r="I26" i="70"/>
  <c r="K25" i="70"/>
  <c r="I25" i="70"/>
  <c r="K24" i="70"/>
  <c r="I24" i="70"/>
  <c r="K23" i="70"/>
  <c r="I23" i="70"/>
  <c r="K22" i="70"/>
  <c r="I22" i="70"/>
  <c r="K21" i="70"/>
  <c r="K36" i="70" s="1"/>
  <c r="K141" i="70" s="1"/>
  <c r="I21" i="70"/>
  <c r="I36" i="70" s="1"/>
  <c r="I141" i="70" s="1"/>
  <c r="K18" i="70"/>
  <c r="K150" i="70" s="1"/>
  <c r="F152" i="70" l="1"/>
  <c r="G152" i="70"/>
  <c r="H152" i="70"/>
  <c r="K108" i="70"/>
  <c r="K147" i="70" s="1"/>
  <c r="K86" i="70"/>
  <c r="K98" i="70" s="1"/>
  <c r="K146" i="70" s="1"/>
  <c r="K152" i="70" s="1"/>
  <c r="I108" i="70"/>
  <c r="I147" i="70" s="1"/>
  <c r="I152" i="70" s="1"/>
  <c r="F155" i="70" l="1"/>
  <c r="F154" i="70"/>
  <c r="J150" i="109" l="1"/>
  <c r="I150" i="109"/>
  <c r="H150" i="109"/>
  <c r="H149" i="109"/>
  <c r="K148" i="109"/>
  <c r="I144" i="109"/>
  <c r="G143" i="109"/>
  <c r="J137" i="109"/>
  <c r="J149" i="109" s="1"/>
  <c r="I137" i="109"/>
  <c r="I149" i="109" s="1"/>
  <c r="H137" i="109"/>
  <c r="G137" i="109"/>
  <c r="G149" i="109" s="1"/>
  <c r="F137" i="109"/>
  <c r="F149" i="109" s="1"/>
  <c r="K135" i="109"/>
  <c r="K134" i="109"/>
  <c r="K133" i="109"/>
  <c r="K132" i="109"/>
  <c r="K131" i="109"/>
  <c r="K137" i="109" s="1"/>
  <c r="K149" i="109" s="1"/>
  <c r="F119" i="109"/>
  <c r="F123" i="109" s="1"/>
  <c r="F127" i="109" s="1"/>
  <c r="J108" i="109"/>
  <c r="J147" i="109" s="1"/>
  <c r="I108" i="109"/>
  <c r="I147" i="109" s="1"/>
  <c r="H108" i="109"/>
  <c r="H147" i="109" s="1"/>
  <c r="G108" i="109"/>
  <c r="G147" i="109" s="1"/>
  <c r="F108" i="109"/>
  <c r="F147" i="109" s="1"/>
  <c r="K106" i="109"/>
  <c r="K105" i="109"/>
  <c r="K104" i="109"/>
  <c r="K103" i="109"/>
  <c r="K102" i="109"/>
  <c r="K108" i="109" s="1"/>
  <c r="K147" i="109" s="1"/>
  <c r="J98" i="109"/>
  <c r="J146" i="109" s="1"/>
  <c r="I98" i="109"/>
  <c r="I146" i="109" s="1"/>
  <c r="H98" i="109"/>
  <c r="H146" i="109" s="1"/>
  <c r="G98" i="109"/>
  <c r="G146" i="109" s="1"/>
  <c r="F98" i="109"/>
  <c r="F146" i="109" s="1"/>
  <c r="K96" i="109"/>
  <c r="K95" i="109"/>
  <c r="K94" i="109"/>
  <c r="K93" i="109"/>
  <c r="K92" i="109"/>
  <c r="K91" i="109"/>
  <c r="K90" i="109"/>
  <c r="K89" i="109"/>
  <c r="K88" i="109"/>
  <c r="K87" i="109"/>
  <c r="K86" i="109"/>
  <c r="K98" i="109" s="1"/>
  <c r="K146" i="109" s="1"/>
  <c r="J82" i="109"/>
  <c r="J145" i="109" s="1"/>
  <c r="I82" i="109"/>
  <c r="I145" i="109" s="1"/>
  <c r="H82" i="109"/>
  <c r="H145" i="109" s="1"/>
  <c r="G82" i="109"/>
  <c r="G145" i="109" s="1"/>
  <c r="F82" i="109"/>
  <c r="F145" i="109" s="1"/>
  <c r="K80" i="109"/>
  <c r="K79" i="109"/>
  <c r="K78" i="109"/>
  <c r="K82" i="109" s="1"/>
  <c r="K145" i="109" s="1"/>
  <c r="K77" i="109"/>
  <c r="J74" i="109"/>
  <c r="J144" i="109" s="1"/>
  <c r="I74" i="109"/>
  <c r="H74" i="109"/>
  <c r="H144" i="109" s="1"/>
  <c r="G74" i="109"/>
  <c r="G144" i="109" s="1"/>
  <c r="F74" i="109"/>
  <c r="F144" i="109" s="1"/>
  <c r="K72" i="109"/>
  <c r="K71" i="109"/>
  <c r="K70" i="109"/>
  <c r="K69" i="109"/>
  <c r="K68" i="109"/>
  <c r="K74" i="109" s="1"/>
  <c r="K144" i="109" s="1"/>
  <c r="J64" i="109"/>
  <c r="J143" i="109" s="1"/>
  <c r="I64" i="109"/>
  <c r="I143" i="109" s="1"/>
  <c r="H64" i="109"/>
  <c r="H143" i="109" s="1"/>
  <c r="G64" i="109"/>
  <c r="F64" i="109"/>
  <c r="F143" i="109" s="1"/>
  <c r="K62" i="109"/>
  <c r="K61" i="109"/>
  <c r="K60" i="109"/>
  <c r="K59" i="109"/>
  <c r="K58" i="109"/>
  <c r="K57" i="109"/>
  <c r="K56" i="109"/>
  <c r="K55" i="109"/>
  <c r="K54" i="109"/>
  <c r="K53" i="109"/>
  <c r="K64" i="109" s="1"/>
  <c r="K143" i="109" s="1"/>
  <c r="J49" i="109"/>
  <c r="J142" i="109" s="1"/>
  <c r="I49" i="109"/>
  <c r="I142" i="109" s="1"/>
  <c r="H49" i="109"/>
  <c r="H142" i="109" s="1"/>
  <c r="G49" i="109"/>
  <c r="G142" i="109" s="1"/>
  <c r="F49" i="109"/>
  <c r="F142" i="109" s="1"/>
  <c r="K47" i="109"/>
  <c r="K46" i="109"/>
  <c r="K45" i="109"/>
  <c r="K44" i="109"/>
  <c r="K43" i="109"/>
  <c r="K42" i="109"/>
  <c r="K41" i="109"/>
  <c r="K40" i="109"/>
  <c r="K49" i="109" s="1"/>
  <c r="K142" i="109" s="1"/>
  <c r="J36" i="109"/>
  <c r="J141" i="109" s="1"/>
  <c r="I36" i="109"/>
  <c r="I141" i="109" s="1"/>
  <c r="H36" i="109"/>
  <c r="H141" i="109" s="1"/>
  <c r="G36" i="109"/>
  <c r="G141" i="109" s="1"/>
  <c r="F36" i="109"/>
  <c r="F141" i="109" s="1"/>
  <c r="K34" i="109"/>
  <c r="K33" i="109"/>
  <c r="K32" i="109"/>
  <c r="K31" i="109"/>
  <c r="K30" i="109"/>
  <c r="K29" i="109"/>
  <c r="K28" i="109"/>
  <c r="K27" i="109"/>
  <c r="K26" i="109"/>
  <c r="K25" i="109"/>
  <c r="K24" i="109"/>
  <c r="K23" i="109"/>
  <c r="K22" i="109"/>
  <c r="K21" i="109"/>
  <c r="K36" i="109" s="1"/>
  <c r="K141" i="109" s="1"/>
  <c r="K18" i="109"/>
  <c r="K150" i="109" s="1"/>
  <c r="F152" i="109" l="1"/>
  <c r="G152" i="109"/>
  <c r="H152" i="109"/>
  <c r="I152" i="109"/>
  <c r="J152" i="109"/>
  <c r="K152" i="109"/>
  <c r="F155" i="109" l="1"/>
  <c r="F154" i="109"/>
  <c r="J150" i="95" l="1"/>
  <c r="I150" i="95"/>
  <c r="H150" i="95"/>
  <c r="G149" i="95"/>
  <c r="K148" i="95"/>
  <c r="H146" i="95"/>
  <c r="I144" i="95"/>
  <c r="H144" i="95"/>
  <c r="J143" i="95"/>
  <c r="F143" i="95"/>
  <c r="J141" i="95"/>
  <c r="J137" i="95"/>
  <c r="J149" i="95" s="1"/>
  <c r="I137" i="95"/>
  <c r="I149" i="95" s="1"/>
  <c r="H137" i="95"/>
  <c r="H149" i="95" s="1"/>
  <c r="G137" i="95"/>
  <c r="F137" i="95"/>
  <c r="F149" i="95" s="1"/>
  <c r="K135" i="95"/>
  <c r="K134" i="95"/>
  <c r="K133" i="95"/>
  <c r="K132" i="95"/>
  <c r="K131" i="95"/>
  <c r="K137" i="95" s="1"/>
  <c r="K149" i="95" s="1"/>
  <c r="F119" i="95"/>
  <c r="F123" i="95" s="1"/>
  <c r="F127" i="95" s="1"/>
  <c r="J108" i="95"/>
  <c r="J147" i="95" s="1"/>
  <c r="H108" i="95"/>
  <c r="H147" i="95" s="1"/>
  <c r="G108" i="95"/>
  <c r="G147" i="95" s="1"/>
  <c r="F108" i="95"/>
  <c r="F147" i="95" s="1"/>
  <c r="I106" i="95"/>
  <c r="K106" i="95" s="1"/>
  <c r="I105" i="95"/>
  <c r="K105" i="95" s="1"/>
  <c r="I104" i="95"/>
  <c r="K104" i="95" s="1"/>
  <c r="I103" i="95"/>
  <c r="K103" i="95" s="1"/>
  <c r="I102" i="95"/>
  <c r="K102" i="95" s="1"/>
  <c r="K108" i="95" s="1"/>
  <c r="K147" i="95" s="1"/>
  <c r="J98" i="95"/>
  <c r="J146" i="95" s="1"/>
  <c r="H98" i="95"/>
  <c r="G98" i="95"/>
  <c r="G146" i="95" s="1"/>
  <c r="F98" i="95"/>
  <c r="F146" i="95" s="1"/>
  <c r="I96" i="95"/>
  <c r="K96" i="95" s="1"/>
  <c r="I95" i="95"/>
  <c r="K95" i="95" s="1"/>
  <c r="I94" i="95"/>
  <c r="K94" i="95" s="1"/>
  <c r="I93" i="95"/>
  <c r="K93" i="95" s="1"/>
  <c r="I92" i="95"/>
  <c r="K92" i="95" s="1"/>
  <c r="I91" i="95"/>
  <c r="K91" i="95" s="1"/>
  <c r="I90" i="95"/>
  <c r="K90" i="95" s="1"/>
  <c r="I89" i="95"/>
  <c r="K89" i="95" s="1"/>
  <c r="I88" i="95"/>
  <c r="K88" i="95" s="1"/>
  <c r="I87" i="95"/>
  <c r="K87" i="95" s="1"/>
  <c r="I86" i="95"/>
  <c r="I98" i="95" s="1"/>
  <c r="I146" i="95" s="1"/>
  <c r="J82" i="95"/>
  <c r="J145" i="95" s="1"/>
  <c r="I82" i="95"/>
  <c r="I145" i="95" s="1"/>
  <c r="H82" i="95"/>
  <c r="H145" i="95" s="1"/>
  <c r="G82" i="95"/>
  <c r="G145" i="95" s="1"/>
  <c r="F82" i="95"/>
  <c r="F145" i="95" s="1"/>
  <c r="K80" i="95"/>
  <c r="K79" i="95"/>
  <c r="K78" i="95"/>
  <c r="K77" i="95"/>
  <c r="K82" i="95" s="1"/>
  <c r="K145" i="95" s="1"/>
  <c r="J74" i="95"/>
  <c r="J144" i="95" s="1"/>
  <c r="I74" i="95"/>
  <c r="H74" i="95"/>
  <c r="G74" i="95"/>
  <c r="G144" i="95" s="1"/>
  <c r="F74" i="95"/>
  <c r="F144" i="95" s="1"/>
  <c r="K72" i="95"/>
  <c r="K71" i="95"/>
  <c r="K70" i="95"/>
  <c r="K69" i="95"/>
  <c r="K68" i="95"/>
  <c r="K74" i="95" s="1"/>
  <c r="K144" i="95" s="1"/>
  <c r="J64" i="95"/>
  <c r="I64" i="95"/>
  <c r="I143" i="95" s="1"/>
  <c r="H64" i="95"/>
  <c r="H143" i="95" s="1"/>
  <c r="G64" i="95"/>
  <c r="G143" i="95" s="1"/>
  <c r="F64" i="95"/>
  <c r="K62" i="95"/>
  <c r="K61" i="95"/>
  <c r="K60" i="95"/>
  <c r="K59" i="95"/>
  <c r="K58" i="95"/>
  <c r="K57" i="95"/>
  <c r="K56" i="95"/>
  <c r="K64" i="95" s="1"/>
  <c r="K143" i="95" s="1"/>
  <c r="K55" i="95"/>
  <c r="K54" i="95"/>
  <c r="K53" i="95"/>
  <c r="J49" i="95"/>
  <c r="J142" i="95" s="1"/>
  <c r="H49" i="95"/>
  <c r="H142" i="95" s="1"/>
  <c r="G49" i="95"/>
  <c r="G142" i="95" s="1"/>
  <c r="F49" i="95"/>
  <c r="F142" i="95" s="1"/>
  <c r="I47" i="95"/>
  <c r="K47" i="95" s="1"/>
  <c r="K46" i="95"/>
  <c r="I46" i="95"/>
  <c r="I45" i="95"/>
  <c r="K45" i="95" s="1"/>
  <c r="K44" i="95"/>
  <c r="I44" i="95"/>
  <c r="I43" i="95"/>
  <c r="K43" i="95" s="1"/>
  <c r="K42" i="95"/>
  <c r="I42" i="95"/>
  <c r="I41" i="95"/>
  <c r="K41" i="95" s="1"/>
  <c r="K40" i="95"/>
  <c r="I40" i="95"/>
  <c r="I49" i="95" s="1"/>
  <c r="I142" i="95" s="1"/>
  <c r="J36" i="95"/>
  <c r="H36" i="95"/>
  <c r="H141" i="95" s="1"/>
  <c r="G36" i="95"/>
  <c r="G141" i="95" s="1"/>
  <c r="F36" i="95"/>
  <c r="F141" i="95" s="1"/>
  <c r="K34" i="95"/>
  <c r="I34" i="95"/>
  <c r="I33" i="95"/>
  <c r="K33" i="95" s="1"/>
  <c r="K32" i="95"/>
  <c r="I32" i="95"/>
  <c r="I31" i="95"/>
  <c r="K31" i="95" s="1"/>
  <c r="K30" i="95"/>
  <c r="I30" i="95"/>
  <c r="I29" i="95"/>
  <c r="K29" i="95" s="1"/>
  <c r="K28" i="95"/>
  <c r="I28" i="95"/>
  <c r="I27" i="95"/>
  <c r="K27" i="95" s="1"/>
  <c r="K26" i="95"/>
  <c r="I26" i="95"/>
  <c r="I25" i="95"/>
  <c r="K25" i="95" s="1"/>
  <c r="K24" i="95"/>
  <c r="I24" i="95"/>
  <c r="I23" i="95"/>
  <c r="I36" i="95" s="1"/>
  <c r="I141" i="95" s="1"/>
  <c r="K22" i="95"/>
  <c r="I22" i="95"/>
  <c r="I21" i="95"/>
  <c r="K21" i="95" s="1"/>
  <c r="K18" i="95"/>
  <c r="K150" i="95" s="1"/>
  <c r="H152" i="95" l="1"/>
  <c r="K36" i="95"/>
  <c r="K141" i="95" s="1"/>
  <c r="K152" i="95" s="1"/>
  <c r="F152" i="95"/>
  <c r="K49" i="95"/>
  <c r="K142" i="95" s="1"/>
  <c r="G152" i="95"/>
  <c r="J152" i="95"/>
  <c r="K23" i="95"/>
  <c r="K86" i="95"/>
  <c r="K98" i="95" s="1"/>
  <c r="K146" i="95" s="1"/>
  <c r="I108" i="95"/>
  <c r="I147" i="95" s="1"/>
  <c r="I152" i="95" s="1"/>
  <c r="F154" i="95" l="1"/>
  <c r="F155" i="95"/>
  <c r="J150" i="93" l="1"/>
  <c r="I150" i="93"/>
  <c r="H150" i="93"/>
  <c r="G149" i="93"/>
  <c r="K148" i="93"/>
  <c r="J147" i="93"/>
  <c r="G147" i="93"/>
  <c r="F147" i="93"/>
  <c r="J145" i="93"/>
  <c r="J143" i="93"/>
  <c r="F143" i="93"/>
  <c r="H142" i="93"/>
  <c r="J141" i="93"/>
  <c r="F141" i="93"/>
  <c r="J137" i="93"/>
  <c r="J149" i="93" s="1"/>
  <c r="I137" i="93"/>
  <c r="I149" i="93" s="1"/>
  <c r="H137" i="93"/>
  <c r="H149" i="93" s="1"/>
  <c r="G137" i="93"/>
  <c r="F137" i="93"/>
  <c r="F149" i="93" s="1"/>
  <c r="K135" i="93"/>
  <c r="K134" i="93"/>
  <c r="K133" i="93"/>
  <c r="K132" i="93"/>
  <c r="K131" i="93"/>
  <c r="K137" i="93" s="1"/>
  <c r="K149" i="93" s="1"/>
  <c r="F119" i="93"/>
  <c r="J108" i="93"/>
  <c r="H108" i="93"/>
  <c r="H147" i="93" s="1"/>
  <c r="G108" i="93"/>
  <c r="F108" i="93"/>
  <c r="I106" i="93"/>
  <c r="K106" i="93" s="1"/>
  <c r="I105" i="93"/>
  <c r="K105" i="93" s="1"/>
  <c r="I104" i="93"/>
  <c r="K104" i="93" s="1"/>
  <c r="I103" i="93"/>
  <c r="K103" i="93" s="1"/>
  <c r="I102" i="93"/>
  <c r="I108" i="93" s="1"/>
  <c r="I147" i="93" s="1"/>
  <c r="J98" i="93"/>
  <c r="J146" i="93" s="1"/>
  <c r="H98" i="93"/>
  <c r="H146" i="93" s="1"/>
  <c r="G98" i="93"/>
  <c r="G146" i="93" s="1"/>
  <c r="F98" i="93"/>
  <c r="F146" i="93" s="1"/>
  <c r="I96" i="93"/>
  <c r="K96" i="93" s="1"/>
  <c r="I95" i="93"/>
  <c r="K95" i="93" s="1"/>
  <c r="I94" i="93"/>
  <c r="K94" i="93" s="1"/>
  <c r="K93" i="93"/>
  <c r="K92" i="93"/>
  <c r="I91" i="93"/>
  <c r="K91" i="93" s="1"/>
  <c r="I90" i="93"/>
  <c r="K90" i="93" s="1"/>
  <c r="I89" i="93"/>
  <c r="K89" i="93" s="1"/>
  <c r="I88" i="93"/>
  <c r="K88" i="93" s="1"/>
  <c r="I87" i="93"/>
  <c r="K87" i="93" s="1"/>
  <c r="I86" i="93"/>
  <c r="K86" i="93" s="1"/>
  <c r="J82" i="93"/>
  <c r="I82" i="93"/>
  <c r="I145" i="93" s="1"/>
  <c r="H82" i="93"/>
  <c r="H145" i="93" s="1"/>
  <c r="G82" i="93"/>
  <c r="G145" i="93" s="1"/>
  <c r="F82" i="93"/>
  <c r="F145" i="93" s="1"/>
  <c r="K80" i="93"/>
  <c r="K79" i="93"/>
  <c r="K78" i="93"/>
  <c r="K77" i="93"/>
  <c r="K82" i="93" s="1"/>
  <c r="K145" i="93" s="1"/>
  <c r="J74" i="93"/>
  <c r="J144" i="93" s="1"/>
  <c r="I74" i="93"/>
  <c r="I144" i="93" s="1"/>
  <c r="H74" i="93"/>
  <c r="H144" i="93" s="1"/>
  <c r="G74" i="93"/>
  <c r="G144" i="93" s="1"/>
  <c r="F74" i="93"/>
  <c r="F144" i="93" s="1"/>
  <c r="K72" i="93"/>
  <c r="K71" i="93"/>
  <c r="K70" i="93"/>
  <c r="K69" i="93"/>
  <c r="K68" i="93"/>
  <c r="K74" i="93" s="1"/>
  <c r="K144" i="93" s="1"/>
  <c r="J64" i="93"/>
  <c r="I64" i="93"/>
  <c r="I143" i="93" s="1"/>
  <c r="H64" i="93"/>
  <c r="H143" i="93" s="1"/>
  <c r="G64" i="93"/>
  <c r="G143" i="93" s="1"/>
  <c r="F64" i="93"/>
  <c r="K62" i="93"/>
  <c r="K61" i="93"/>
  <c r="K60" i="93"/>
  <c r="K64" i="93" s="1"/>
  <c r="K143" i="93" s="1"/>
  <c r="K59" i="93"/>
  <c r="K58" i="93"/>
  <c r="K57" i="93"/>
  <c r="K56" i="93"/>
  <c r="K55" i="93"/>
  <c r="K54" i="93"/>
  <c r="K53" i="93"/>
  <c r="J49" i="93"/>
  <c r="J142" i="93" s="1"/>
  <c r="I49" i="93"/>
  <c r="I142" i="93" s="1"/>
  <c r="H49" i="93"/>
  <c r="G49" i="93"/>
  <c r="G142" i="93" s="1"/>
  <c r="F49" i="93"/>
  <c r="F142" i="93" s="1"/>
  <c r="K47" i="93"/>
  <c r="K46" i="93"/>
  <c r="K45" i="93"/>
  <c r="K49" i="93" s="1"/>
  <c r="K142" i="93" s="1"/>
  <c r="K44" i="93"/>
  <c r="K43" i="93"/>
  <c r="K42" i="93"/>
  <c r="K41" i="93"/>
  <c r="K40" i="93"/>
  <c r="J36" i="93"/>
  <c r="I36" i="93"/>
  <c r="I141" i="93" s="1"/>
  <c r="H36" i="93"/>
  <c r="H141" i="93" s="1"/>
  <c r="G36" i="93"/>
  <c r="G141" i="93" s="1"/>
  <c r="F36" i="93"/>
  <c r="K34" i="93"/>
  <c r="I34" i="93"/>
  <c r="I33" i="93"/>
  <c r="K33" i="93" s="1"/>
  <c r="K32" i="93"/>
  <c r="I32" i="93"/>
  <c r="I31" i="93"/>
  <c r="K31" i="93" s="1"/>
  <c r="K30" i="93"/>
  <c r="I30" i="93"/>
  <c r="I29" i="93"/>
  <c r="K29" i="93" s="1"/>
  <c r="K28" i="93"/>
  <c r="I28" i="93"/>
  <c r="I27" i="93"/>
  <c r="K27" i="93" s="1"/>
  <c r="K26" i="93"/>
  <c r="I26" i="93"/>
  <c r="I25" i="93"/>
  <c r="K25" i="93" s="1"/>
  <c r="K24" i="93"/>
  <c r="I24" i="93"/>
  <c r="I23" i="93"/>
  <c r="K23" i="93" s="1"/>
  <c r="K22" i="93"/>
  <c r="I22" i="93"/>
  <c r="I21" i="93"/>
  <c r="K21" i="93" s="1"/>
  <c r="K18" i="93"/>
  <c r="K150" i="93" s="1"/>
  <c r="F152" i="93" l="1"/>
  <c r="J152" i="93"/>
  <c r="G152" i="93"/>
  <c r="H152" i="93"/>
  <c r="K36" i="93"/>
  <c r="K141" i="93" s="1"/>
  <c r="I152" i="93"/>
  <c r="K98" i="93"/>
  <c r="K146" i="93" s="1"/>
  <c r="K102" i="93"/>
  <c r="K108" i="93" s="1"/>
  <c r="K147" i="93" s="1"/>
  <c r="I98" i="93"/>
  <c r="I146" i="93" s="1"/>
  <c r="K152" i="93" l="1"/>
  <c r="J150" i="92"/>
  <c r="I150" i="92"/>
  <c r="H150" i="92"/>
  <c r="G149" i="92"/>
  <c r="K148" i="92"/>
  <c r="J147" i="92"/>
  <c r="G147" i="92"/>
  <c r="F147" i="92"/>
  <c r="H146" i="92"/>
  <c r="J145" i="92"/>
  <c r="F145" i="92"/>
  <c r="I144" i="92"/>
  <c r="H144" i="92"/>
  <c r="G143" i="92"/>
  <c r="F143" i="92"/>
  <c r="H142" i="92"/>
  <c r="J141" i="92"/>
  <c r="F141" i="92"/>
  <c r="J137" i="92"/>
  <c r="J149" i="92" s="1"/>
  <c r="I137" i="92"/>
  <c r="I149" i="92" s="1"/>
  <c r="H137" i="92"/>
  <c r="H149" i="92" s="1"/>
  <c r="G137" i="92"/>
  <c r="F137" i="92"/>
  <c r="F149" i="92" s="1"/>
  <c r="K135" i="92"/>
  <c r="K134" i="92"/>
  <c r="K133" i="92"/>
  <c r="K132" i="92"/>
  <c r="K131" i="92"/>
  <c r="K137" i="92" s="1"/>
  <c r="K149" i="92" s="1"/>
  <c r="F119" i="92"/>
  <c r="J108" i="92"/>
  <c r="H108" i="92"/>
  <c r="H147" i="92" s="1"/>
  <c r="G108" i="92"/>
  <c r="F108" i="92"/>
  <c r="I106" i="92"/>
  <c r="K106" i="92" s="1"/>
  <c r="I105" i="92"/>
  <c r="K105" i="92" s="1"/>
  <c r="K104" i="92"/>
  <c r="K103" i="92"/>
  <c r="I103" i="92"/>
  <c r="I108" i="92" s="1"/>
  <c r="I147" i="92" s="1"/>
  <c r="K102" i="92"/>
  <c r="K108" i="92" s="1"/>
  <c r="K147" i="92" s="1"/>
  <c r="J98" i="92"/>
  <c r="J146" i="92" s="1"/>
  <c r="H98" i="92"/>
  <c r="G98" i="92"/>
  <c r="G146" i="92" s="1"/>
  <c r="F98" i="92"/>
  <c r="F146" i="92" s="1"/>
  <c r="I96" i="92"/>
  <c r="K96" i="92" s="1"/>
  <c r="I95" i="92"/>
  <c r="K95" i="92" s="1"/>
  <c r="I94" i="92"/>
  <c r="K94" i="92" s="1"/>
  <c r="I93" i="92"/>
  <c r="K93" i="92" s="1"/>
  <c r="I92" i="92"/>
  <c r="K92" i="92" s="1"/>
  <c r="I91" i="92"/>
  <c r="K91" i="92" s="1"/>
  <c r="I90" i="92"/>
  <c r="K90" i="92" s="1"/>
  <c r="I89" i="92"/>
  <c r="K89" i="92" s="1"/>
  <c r="K88" i="92"/>
  <c r="K87" i="92"/>
  <c r="I86" i="92"/>
  <c r="I98" i="92" s="1"/>
  <c r="I146" i="92" s="1"/>
  <c r="J82" i="92"/>
  <c r="I82" i="92"/>
  <c r="I145" i="92" s="1"/>
  <c r="H82" i="92"/>
  <c r="H145" i="92" s="1"/>
  <c r="G82" i="92"/>
  <c r="G145" i="92" s="1"/>
  <c r="F82" i="92"/>
  <c r="K80" i="92"/>
  <c r="K79" i="92"/>
  <c r="K78" i="92"/>
  <c r="K77" i="92"/>
  <c r="K82" i="92" s="1"/>
  <c r="K145" i="92" s="1"/>
  <c r="J74" i="92"/>
  <c r="J144" i="92" s="1"/>
  <c r="I74" i="92"/>
  <c r="H74" i="92"/>
  <c r="G74" i="92"/>
  <c r="G144" i="92" s="1"/>
  <c r="F74" i="92"/>
  <c r="F144" i="92" s="1"/>
  <c r="K72" i="92"/>
  <c r="K71" i="92"/>
  <c r="K70" i="92"/>
  <c r="K69" i="92"/>
  <c r="K68" i="92"/>
  <c r="K74" i="92" s="1"/>
  <c r="K144" i="92" s="1"/>
  <c r="J64" i="92"/>
  <c r="J143" i="92" s="1"/>
  <c r="I64" i="92"/>
  <c r="I143" i="92" s="1"/>
  <c r="H64" i="92"/>
  <c r="H143" i="92" s="1"/>
  <c r="G64" i="92"/>
  <c r="F64" i="92"/>
  <c r="K62" i="92"/>
  <c r="K61" i="92"/>
  <c r="K60" i="92"/>
  <c r="K59" i="92"/>
  <c r="K58" i="92"/>
  <c r="K57" i="92"/>
  <c r="K56" i="92"/>
  <c r="K55" i="92"/>
  <c r="K54" i="92"/>
  <c r="K53" i="92"/>
  <c r="K64" i="92" s="1"/>
  <c r="K143" i="92" s="1"/>
  <c r="J49" i="92"/>
  <c r="J142" i="92" s="1"/>
  <c r="I49" i="92"/>
  <c r="I142" i="92" s="1"/>
  <c r="H49" i="92"/>
  <c r="G49" i="92"/>
  <c r="G142" i="92" s="1"/>
  <c r="F49" i="92"/>
  <c r="F142" i="92" s="1"/>
  <c r="K47" i="92"/>
  <c r="K46" i="92"/>
  <c r="K45" i="92"/>
  <c r="K44" i="92"/>
  <c r="K43" i="92"/>
  <c r="K42" i="92"/>
  <c r="K41" i="92"/>
  <c r="K40" i="92"/>
  <c r="K49" i="92" s="1"/>
  <c r="K142" i="92" s="1"/>
  <c r="J36" i="92"/>
  <c r="H36" i="92"/>
  <c r="H141" i="92" s="1"/>
  <c r="G36" i="92"/>
  <c r="G141" i="92" s="1"/>
  <c r="G152" i="92" s="1"/>
  <c r="F36" i="92"/>
  <c r="I34" i="92"/>
  <c r="K34" i="92" s="1"/>
  <c r="K33" i="92"/>
  <c r="I33" i="92"/>
  <c r="I32" i="92"/>
  <c r="K32" i="92" s="1"/>
  <c r="K31" i="92"/>
  <c r="I31" i="92"/>
  <c r="K30" i="92"/>
  <c r="K29" i="92"/>
  <c r="K28" i="92"/>
  <c r="I28" i="92"/>
  <c r="I27" i="92"/>
  <c r="K27" i="92" s="1"/>
  <c r="K26" i="92"/>
  <c r="I26" i="92"/>
  <c r="I25" i="92"/>
  <c r="K25" i="92" s="1"/>
  <c r="K24" i="92"/>
  <c r="K23" i="92"/>
  <c r="I23" i="92"/>
  <c r="I22" i="92"/>
  <c r="I36" i="92" s="1"/>
  <c r="I141" i="92" s="1"/>
  <c r="K21" i="92"/>
  <c r="K18" i="92"/>
  <c r="K150" i="92" s="1"/>
  <c r="H152" i="92" l="1"/>
  <c r="F154" i="93"/>
  <c r="F155" i="93"/>
  <c r="I152" i="92"/>
  <c r="F152" i="92"/>
  <c r="J152" i="92"/>
  <c r="K22" i="92"/>
  <c r="K36" i="92" s="1"/>
  <c r="K141" i="92" s="1"/>
  <c r="K86" i="92"/>
  <c r="K98" i="92" s="1"/>
  <c r="K146" i="92" s="1"/>
  <c r="K152" i="92" l="1"/>
  <c r="F154" i="92" l="1"/>
  <c r="F155" i="92"/>
  <c r="J150" i="107"/>
  <c r="I150" i="107"/>
  <c r="H150" i="107"/>
  <c r="H149" i="107"/>
  <c r="K148" i="107"/>
  <c r="G147" i="107"/>
  <c r="I144" i="107"/>
  <c r="J137" i="107"/>
  <c r="J149" i="107" s="1"/>
  <c r="I137" i="107"/>
  <c r="I149" i="107" s="1"/>
  <c r="H137" i="107"/>
  <c r="G137" i="107"/>
  <c r="G149" i="107" s="1"/>
  <c r="F137" i="107"/>
  <c r="F149" i="107" s="1"/>
  <c r="K135" i="107"/>
  <c r="K134" i="107"/>
  <c r="K133" i="107"/>
  <c r="K132" i="107"/>
  <c r="K131" i="107"/>
  <c r="K137" i="107" s="1"/>
  <c r="K149" i="107" s="1"/>
  <c r="F127" i="107"/>
  <c r="F119" i="107"/>
  <c r="J108" i="107"/>
  <c r="J147" i="107" s="1"/>
  <c r="I108" i="107"/>
  <c r="I147" i="107" s="1"/>
  <c r="H108" i="107"/>
  <c r="H147" i="107" s="1"/>
  <c r="G108" i="107"/>
  <c r="F108" i="107"/>
  <c r="F147" i="107" s="1"/>
  <c r="K106" i="107"/>
  <c r="K105" i="107"/>
  <c r="K104" i="107"/>
  <c r="K103" i="107"/>
  <c r="K102" i="107"/>
  <c r="K108" i="107" s="1"/>
  <c r="K147" i="107" s="1"/>
  <c r="J98" i="107"/>
  <c r="J146" i="107" s="1"/>
  <c r="I98" i="107"/>
  <c r="I146" i="107" s="1"/>
  <c r="H98" i="107"/>
  <c r="H146" i="107" s="1"/>
  <c r="G98" i="107"/>
  <c r="G146" i="107" s="1"/>
  <c r="F98" i="107"/>
  <c r="F146" i="107" s="1"/>
  <c r="K96" i="107"/>
  <c r="K95" i="107"/>
  <c r="K94" i="107"/>
  <c r="K93" i="107"/>
  <c r="K92" i="107"/>
  <c r="K91" i="107"/>
  <c r="K90" i="107"/>
  <c r="K89" i="107"/>
  <c r="K88" i="107"/>
  <c r="K87" i="107"/>
  <c r="K86" i="107"/>
  <c r="K98" i="107" s="1"/>
  <c r="K146" i="107" s="1"/>
  <c r="J82" i="107"/>
  <c r="J145" i="107" s="1"/>
  <c r="I82" i="107"/>
  <c r="I145" i="107" s="1"/>
  <c r="H82" i="107"/>
  <c r="H145" i="107" s="1"/>
  <c r="G82" i="107"/>
  <c r="G145" i="107" s="1"/>
  <c r="F82" i="107"/>
  <c r="F145" i="107" s="1"/>
  <c r="K80" i="107"/>
  <c r="K79" i="107"/>
  <c r="K78" i="107"/>
  <c r="K77" i="107"/>
  <c r="K82" i="107" s="1"/>
  <c r="K145" i="107" s="1"/>
  <c r="J74" i="107"/>
  <c r="J144" i="107" s="1"/>
  <c r="I74" i="107"/>
  <c r="H74" i="107"/>
  <c r="H144" i="107" s="1"/>
  <c r="G74" i="107"/>
  <c r="G144" i="107" s="1"/>
  <c r="F74" i="107"/>
  <c r="F144" i="107" s="1"/>
  <c r="K72" i="107"/>
  <c r="K71" i="107"/>
  <c r="K70" i="107"/>
  <c r="K69" i="107"/>
  <c r="K68" i="107"/>
  <c r="K74" i="107" s="1"/>
  <c r="K144" i="107" s="1"/>
  <c r="J64" i="107"/>
  <c r="J143" i="107" s="1"/>
  <c r="I64" i="107"/>
  <c r="I143" i="107" s="1"/>
  <c r="H64" i="107"/>
  <c r="H143" i="107" s="1"/>
  <c r="G64" i="107"/>
  <c r="G143" i="107" s="1"/>
  <c r="F64" i="107"/>
  <c r="F143" i="107" s="1"/>
  <c r="K62" i="107"/>
  <c r="K61" i="107"/>
  <c r="K60" i="107"/>
  <c r="K59" i="107"/>
  <c r="K58" i="107"/>
  <c r="K57" i="107"/>
  <c r="K56" i="107"/>
  <c r="K55" i="107"/>
  <c r="K54" i="107"/>
  <c r="K53" i="107"/>
  <c r="K64" i="107" s="1"/>
  <c r="K143" i="107" s="1"/>
  <c r="J49" i="107"/>
  <c r="J142" i="107" s="1"/>
  <c r="I49" i="107"/>
  <c r="I142" i="107" s="1"/>
  <c r="H49" i="107"/>
  <c r="H142" i="107" s="1"/>
  <c r="G49" i="107"/>
  <c r="G142" i="107" s="1"/>
  <c r="F49" i="107"/>
  <c r="F142" i="107" s="1"/>
  <c r="K47" i="107"/>
  <c r="K46" i="107"/>
  <c r="K45" i="107"/>
  <c r="K44" i="107"/>
  <c r="K43" i="107"/>
  <c r="K42" i="107"/>
  <c r="K41" i="107"/>
  <c r="K40" i="107"/>
  <c r="K49" i="107" s="1"/>
  <c r="K142" i="107" s="1"/>
  <c r="J36" i="107"/>
  <c r="J141" i="107" s="1"/>
  <c r="I36" i="107"/>
  <c r="I141" i="107" s="1"/>
  <c r="H36" i="107"/>
  <c r="H141" i="107" s="1"/>
  <c r="G36" i="107"/>
  <c r="G141" i="107" s="1"/>
  <c r="F36" i="107"/>
  <c r="F141" i="107" s="1"/>
  <c r="F152" i="107" s="1"/>
  <c r="K34" i="107"/>
  <c r="K33" i="107"/>
  <c r="K32" i="107"/>
  <c r="K31" i="107"/>
  <c r="K30" i="107"/>
  <c r="K29" i="107"/>
  <c r="K28" i="107"/>
  <c r="K27" i="107"/>
  <c r="K26" i="107"/>
  <c r="K25" i="107"/>
  <c r="K24" i="107"/>
  <c r="K23" i="107"/>
  <c r="K22" i="107"/>
  <c r="K21" i="107"/>
  <c r="K36" i="107" s="1"/>
  <c r="K141" i="107" s="1"/>
  <c r="K18" i="107"/>
  <c r="K150" i="107" s="1"/>
  <c r="K152" i="107" l="1"/>
  <c r="I152" i="107"/>
  <c r="G152" i="107"/>
  <c r="H152" i="107"/>
  <c r="J152" i="107"/>
  <c r="F155" i="107" l="1"/>
  <c r="F154" i="107"/>
  <c r="K150" i="89" l="1"/>
  <c r="J150" i="89"/>
  <c r="I150" i="89"/>
  <c r="H150" i="89"/>
  <c r="H149" i="89"/>
  <c r="K148" i="89"/>
  <c r="G147" i="89"/>
  <c r="I144" i="89"/>
  <c r="G143" i="89"/>
  <c r="J137" i="89"/>
  <c r="J149" i="89" s="1"/>
  <c r="I137" i="89"/>
  <c r="I149" i="89" s="1"/>
  <c r="H137" i="89"/>
  <c r="G137" i="89"/>
  <c r="G149" i="89" s="1"/>
  <c r="F137" i="89"/>
  <c r="F149" i="89" s="1"/>
  <c r="K132" i="89"/>
  <c r="K131" i="89"/>
  <c r="K137" i="89" s="1"/>
  <c r="K149" i="89" s="1"/>
  <c r="J108" i="89"/>
  <c r="J147" i="89" s="1"/>
  <c r="I108" i="89"/>
  <c r="I147" i="89" s="1"/>
  <c r="H108" i="89"/>
  <c r="H147" i="89" s="1"/>
  <c r="G108" i="89"/>
  <c r="F108" i="89"/>
  <c r="F147" i="89" s="1"/>
  <c r="I104" i="89"/>
  <c r="K104" i="89" s="1"/>
  <c r="I103" i="89"/>
  <c r="K103" i="89" s="1"/>
  <c r="K102" i="89"/>
  <c r="K108" i="89" s="1"/>
  <c r="K147" i="89" s="1"/>
  <c r="I102" i="89"/>
  <c r="J98" i="89"/>
  <c r="J146" i="89" s="1"/>
  <c r="H98" i="89"/>
  <c r="H146" i="89" s="1"/>
  <c r="G98" i="89"/>
  <c r="G146" i="89" s="1"/>
  <c r="F98" i="89"/>
  <c r="F146" i="89" s="1"/>
  <c r="K93" i="89"/>
  <c r="I93" i="89"/>
  <c r="I92" i="89"/>
  <c r="K92" i="89" s="1"/>
  <c r="I91" i="89"/>
  <c r="K91" i="89" s="1"/>
  <c r="I90" i="89"/>
  <c r="K90" i="89" s="1"/>
  <c r="K89" i="89"/>
  <c r="I89" i="89"/>
  <c r="I88" i="89"/>
  <c r="K88" i="89" s="1"/>
  <c r="I87" i="89"/>
  <c r="K87" i="89" s="1"/>
  <c r="I86" i="89"/>
  <c r="I98" i="89" s="1"/>
  <c r="I146" i="89" s="1"/>
  <c r="J82" i="89"/>
  <c r="J145" i="89" s="1"/>
  <c r="I82" i="89"/>
  <c r="I145" i="89" s="1"/>
  <c r="H82" i="89"/>
  <c r="H145" i="89" s="1"/>
  <c r="G82" i="89"/>
  <c r="G145" i="89" s="1"/>
  <c r="F82" i="89"/>
  <c r="F145" i="89" s="1"/>
  <c r="K80" i="89"/>
  <c r="K79" i="89"/>
  <c r="K78" i="89"/>
  <c r="K82" i="89" s="1"/>
  <c r="K145" i="89" s="1"/>
  <c r="K77" i="89"/>
  <c r="J74" i="89"/>
  <c r="J144" i="89" s="1"/>
  <c r="I74" i="89"/>
  <c r="H74" i="89"/>
  <c r="H144" i="89" s="1"/>
  <c r="G74" i="89"/>
  <c r="G144" i="89" s="1"/>
  <c r="F74" i="89"/>
  <c r="F144" i="89" s="1"/>
  <c r="K72" i="89"/>
  <c r="K71" i="89"/>
  <c r="K70" i="89"/>
  <c r="K69" i="89"/>
  <c r="K68" i="89"/>
  <c r="K74" i="89" s="1"/>
  <c r="K144" i="89" s="1"/>
  <c r="J64" i="89"/>
  <c r="J143" i="89" s="1"/>
  <c r="H64" i="89"/>
  <c r="H143" i="89" s="1"/>
  <c r="G64" i="89"/>
  <c r="F64" i="89"/>
  <c r="F143" i="89" s="1"/>
  <c r="K62" i="89"/>
  <c r="K61" i="89"/>
  <c r="K60" i="89"/>
  <c r="T59" i="89"/>
  <c r="K59" i="89"/>
  <c r="T58" i="89"/>
  <c r="K58" i="89"/>
  <c r="K57" i="89"/>
  <c r="T56" i="89"/>
  <c r="K56" i="89"/>
  <c r="T55" i="89"/>
  <c r="I55" i="89"/>
  <c r="K55" i="89" s="1"/>
  <c r="T54" i="89"/>
  <c r="K54" i="89"/>
  <c r="T53" i="89"/>
  <c r="K53" i="89"/>
  <c r="K64" i="89" s="1"/>
  <c r="K143" i="89" s="1"/>
  <c r="J49" i="89"/>
  <c r="J142" i="89" s="1"/>
  <c r="I49" i="89"/>
  <c r="I142" i="89" s="1"/>
  <c r="H49" i="89"/>
  <c r="H142" i="89" s="1"/>
  <c r="G49" i="89"/>
  <c r="G142" i="89" s="1"/>
  <c r="F49" i="89"/>
  <c r="F142" i="89" s="1"/>
  <c r="K43" i="89"/>
  <c r="K42" i="89"/>
  <c r="K41" i="89"/>
  <c r="K40" i="89"/>
  <c r="K49" i="89" s="1"/>
  <c r="K142" i="89" s="1"/>
  <c r="J36" i="89"/>
  <c r="J141" i="89" s="1"/>
  <c r="J152" i="89" s="1"/>
  <c r="I36" i="89"/>
  <c r="I141" i="89" s="1"/>
  <c r="H36" i="89"/>
  <c r="H141" i="89" s="1"/>
  <c r="G36" i="89"/>
  <c r="G141" i="89" s="1"/>
  <c r="F36" i="89"/>
  <c r="F141" i="89" s="1"/>
  <c r="I30" i="89"/>
  <c r="K30" i="89" s="1"/>
  <c r="I29" i="89"/>
  <c r="K29" i="89" s="1"/>
  <c r="K28" i="89"/>
  <c r="I28" i="89"/>
  <c r="I27" i="89"/>
  <c r="K27" i="89" s="1"/>
  <c r="I26" i="89"/>
  <c r="K26" i="89" s="1"/>
  <c r="I25" i="89"/>
  <c r="K25" i="89" s="1"/>
  <c r="K24" i="89"/>
  <c r="I24" i="89"/>
  <c r="I23" i="89"/>
  <c r="K23" i="89" s="1"/>
  <c r="I22" i="89"/>
  <c r="K22" i="89" s="1"/>
  <c r="I21" i="89"/>
  <c r="K21" i="89" s="1"/>
  <c r="K36" i="89" s="1"/>
  <c r="K141" i="89" s="1"/>
  <c r="H152" i="89" l="1"/>
  <c r="F152" i="89"/>
  <c r="G152" i="89"/>
  <c r="I64" i="89"/>
  <c r="I143" i="89" s="1"/>
  <c r="I152" i="89" s="1"/>
  <c r="K86" i="89"/>
  <c r="K98" i="89" s="1"/>
  <c r="K146" i="89" s="1"/>
  <c r="K152" i="89" s="1"/>
  <c r="F155" i="89" l="1"/>
  <c r="F154" i="89"/>
  <c r="J150" i="123" l="1"/>
  <c r="I150" i="123"/>
  <c r="H150" i="123"/>
  <c r="I149" i="123"/>
  <c r="K148" i="123"/>
  <c r="H147" i="123"/>
  <c r="I145" i="123"/>
  <c r="H145" i="123"/>
  <c r="G144" i="123"/>
  <c r="F144" i="123"/>
  <c r="H143" i="123"/>
  <c r="J142" i="123"/>
  <c r="F142" i="123"/>
  <c r="H141" i="123"/>
  <c r="J137" i="123"/>
  <c r="J149" i="123" s="1"/>
  <c r="I137" i="123"/>
  <c r="H137" i="123"/>
  <c r="H149" i="123" s="1"/>
  <c r="G137" i="123"/>
  <c r="G149" i="123" s="1"/>
  <c r="F137" i="123"/>
  <c r="F149" i="123" s="1"/>
  <c r="K135" i="123"/>
  <c r="K134" i="123"/>
  <c r="K133" i="123"/>
  <c r="K132" i="123"/>
  <c r="K131" i="123"/>
  <c r="K137" i="123" s="1"/>
  <c r="K149" i="123" s="1"/>
  <c r="F119" i="123"/>
  <c r="J108" i="123"/>
  <c r="J147" i="123" s="1"/>
  <c r="H108" i="123"/>
  <c r="G108" i="123"/>
  <c r="G147" i="123" s="1"/>
  <c r="F108" i="123"/>
  <c r="F147" i="123" s="1"/>
  <c r="K106" i="123"/>
  <c r="I106" i="123"/>
  <c r="I105" i="123"/>
  <c r="K105" i="123" s="1"/>
  <c r="I104" i="123"/>
  <c r="K104" i="123" s="1"/>
  <c r="I103" i="123"/>
  <c r="I108" i="123" s="1"/>
  <c r="I147" i="123" s="1"/>
  <c r="K102" i="123"/>
  <c r="I102" i="123"/>
  <c r="J98" i="123"/>
  <c r="J146" i="123" s="1"/>
  <c r="H98" i="123"/>
  <c r="H146" i="123" s="1"/>
  <c r="G98" i="123"/>
  <c r="G146" i="123" s="1"/>
  <c r="F98" i="123"/>
  <c r="F146" i="123" s="1"/>
  <c r="K96" i="123"/>
  <c r="I96" i="123"/>
  <c r="I95" i="123"/>
  <c r="K95" i="123" s="1"/>
  <c r="I94" i="123"/>
  <c r="K94" i="123" s="1"/>
  <c r="I93" i="123"/>
  <c r="K93" i="123" s="1"/>
  <c r="K92" i="123"/>
  <c r="I92" i="123"/>
  <c r="I91" i="123"/>
  <c r="K91" i="123" s="1"/>
  <c r="I90" i="123"/>
  <c r="K90" i="123" s="1"/>
  <c r="I89" i="123"/>
  <c r="K89" i="123" s="1"/>
  <c r="K88" i="123"/>
  <c r="I88" i="123"/>
  <c r="I87" i="123"/>
  <c r="K87" i="123" s="1"/>
  <c r="I86" i="123"/>
  <c r="I98" i="123" s="1"/>
  <c r="I146" i="123" s="1"/>
  <c r="J82" i="123"/>
  <c r="J145" i="123" s="1"/>
  <c r="I82" i="123"/>
  <c r="H82" i="123"/>
  <c r="G82" i="123"/>
  <c r="G145" i="123" s="1"/>
  <c r="F82" i="123"/>
  <c r="F145" i="123" s="1"/>
  <c r="K80" i="123"/>
  <c r="K79" i="123"/>
  <c r="K78" i="123"/>
  <c r="K77" i="123"/>
  <c r="K82" i="123" s="1"/>
  <c r="K145" i="123" s="1"/>
  <c r="J74" i="123"/>
  <c r="J144" i="123" s="1"/>
  <c r="I74" i="123"/>
  <c r="I144" i="123" s="1"/>
  <c r="H74" i="123"/>
  <c r="H144" i="123" s="1"/>
  <c r="G74" i="123"/>
  <c r="F74" i="123"/>
  <c r="K72" i="123"/>
  <c r="K71" i="123"/>
  <c r="K70" i="123"/>
  <c r="K69" i="123"/>
  <c r="K68" i="123"/>
  <c r="K74" i="123" s="1"/>
  <c r="K144" i="123" s="1"/>
  <c r="J64" i="123"/>
  <c r="J143" i="123" s="1"/>
  <c r="I64" i="123"/>
  <c r="I143" i="123" s="1"/>
  <c r="H64" i="123"/>
  <c r="G64" i="123"/>
  <c r="G143" i="123" s="1"/>
  <c r="F64" i="123"/>
  <c r="F143" i="123" s="1"/>
  <c r="K62" i="123"/>
  <c r="K61" i="123"/>
  <c r="K60" i="123"/>
  <c r="K64" i="123" s="1"/>
  <c r="K143" i="123" s="1"/>
  <c r="K59" i="123"/>
  <c r="K58" i="123"/>
  <c r="K56" i="123"/>
  <c r="K54" i="123"/>
  <c r="K53" i="123"/>
  <c r="J49" i="123"/>
  <c r="I49" i="123"/>
  <c r="I142" i="123" s="1"/>
  <c r="H49" i="123"/>
  <c r="H142" i="123" s="1"/>
  <c r="G49" i="123"/>
  <c r="G142" i="123" s="1"/>
  <c r="F49" i="123"/>
  <c r="K47" i="123"/>
  <c r="K46" i="123"/>
  <c r="K45" i="123"/>
  <c r="K44" i="123"/>
  <c r="K43" i="123"/>
  <c r="K49" i="123" s="1"/>
  <c r="K142" i="123" s="1"/>
  <c r="K42" i="123"/>
  <c r="K41" i="123"/>
  <c r="K40" i="123"/>
  <c r="J36" i="123"/>
  <c r="J141" i="123" s="1"/>
  <c r="H36" i="123"/>
  <c r="G36" i="123"/>
  <c r="G141" i="123" s="1"/>
  <c r="G152" i="123" s="1"/>
  <c r="F36" i="123"/>
  <c r="F141" i="123" s="1"/>
  <c r="K34" i="123"/>
  <c r="I34" i="123"/>
  <c r="K33" i="123"/>
  <c r="I33" i="123"/>
  <c r="I32" i="123"/>
  <c r="K32" i="123" s="1"/>
  <c r="K31" i="123"/>
  <c r="I31" i="123"/>
  <c r="K30" i="123"/>
  <c r="I30" i="123"/>
  <c r="K29" i="123"/>
  <c r="I29" i="123"/>
  <c r="I28" i="123"/>
  <c r="K28" i="123" s="1"/>
  <c r="K27" i="123"/>
  <c r="I27" i="123"/>
  <c r="K26" i="123"/>
  <c r="I26" i="123"/>
  <c r="K25" i="123"/>
  <c r="I25" i="123"/>
  <c r="I24" i="123"/>
  <c r="I36" i="123" s="1"/>
  <c r="I141" i="123" s="1"/>
  <c r="K23" i="123"/>
  <c r="I23" i="123"/>
  <c r="K22" i="123"/>
  <c r="I22" i="123"/>
  <c r="K21" i="123"/>
  <c r="I21" i="123"/>
  <c r="K18" i="123"/>
  <c r="K150" i="123" s="1"/>
  <c r="F152" i="123" l="1"/>
  <c r="H152" i="123"/>
  <c r="J152" i="123"/>
  <c r="I152" i="123"/>
  <c r="K24" i="123"/>
  <c r="K36" i="123" s="1"/>
  <c r="K141" i="123" s="1"/>
  <c r="K152" i="123" s="1"/>
  <c r="K103" i="123"/>
  <c r="K108" i="123" s="1"/>
  <c r="K147" i="123" s="1"/>
  <c r="K86" i="123"/>
  <c r="K98" i="123" s="1"/>
  <c r="K146" i="123" s="1"/>
  <c r="F155" i="123" l="1"/>
  <c r="F154" i="123"/>
  <c r="J150" i="122" l="1"/>
  <c r="I150" i="122"/>
  <c r="H150" i="122"/>
  <c r="J149" i="122"/>
  <c r="H149" i="122"/>
  <c r="F149" i="122"/>
  <c r="K148" i="122"/>
  <c r="J147" i="122"/>
  <c r="G147" i="122"/>
  <c r="G146" i="122"/>
  <c r="J145" i="122"/>
  <c r="F145" i="122"/>
  <c r="I144" i="122"/>
  <c r="H144" i="122"/>
  <c r="G143" i="122"/>
  <c r="J137" i="122"/>
  <c r="I137" i="122"/>
  <c r="I149" i="122" s="1"/>
  <c r="H137" i="122"/>
  <c r="G137" i="122"/>
  <c r="G149" i="122" s="1"/>
  <c r="F137" i="122"/>
  <c r="K135" i="122"/>
  <c r="K134" i="122"/>
  <c r="K133" i="122"/>
  <c r="K132" i="122"/>
  <c r="K131" i="122"/>
  <c r="K137" i="122" s="1"/>
  <c r="K149" i="122" s="1"/>
  <c r="F123" i="122"/>
  <c r="F119" i="122"/>
  <c r="J108" i="122"/>
  <c r="H108" i="122"/>
  <c r="H147" i="122" s="1"/>
  <c r="G108" i="122"/>
  <c r="F108" i="122"/>
  <c r="F147" i="122" s="1"/>
  <c r="K106" i="122"/>
  <c r="I106" i="122"/>
  <c r="I105" i="122"/>
  <c r="K105" i="122" s="1"/>
  <c r="K104" i="122"/>
  <c r="I104" i="122"/>
  <c r="I103" i="122"/>
  <c r="I108" i="122" s="1"/>
  <c r="I147" i="122" s="1"/>
  <c r="K102" i="122"/>
  <c r="I102" i="122"/>
  <c r="J98" i="122"/>
  <c r="J146" i="122" s="1"/>
  <c r="H98" i="122"/>
  <c r="H146" i="122" s="1"/>
  <c r="G98" i="122"/>
  <c r="F98" i="122"/>
  <c r="F146" i="122" s="1"/>
  <c r="K96" i="122"/>
  <c r="I96" i="122"/>
  <c r="I95" i="122"/>
  <c r="K95" i="122" s="1"/>
  <c r="K94" i="122"/>
  <c r="I94" i="122"/>
  <c r="I93" i="122"/>
  <c r="K93" i="122" s="1"/>
  <c r="K92" i="122"/>
  <c r="I92" i="122"/>
  <c r="I91" i="122"/>
  <c r="K91" i="122" s="1"/>
  <c r="K90" i="122"/>
  <c r="I90" i="122"/>
  <c r="I89" i="122"/>
  <c r="I98" i="122" s="1"/>
  <c r="I146" i="122" s="1"/>
  <c r="K88" i="122"/>
  <c r="I88" i="122"/>
  <c r="I87" i="122"/>
  <c r="K87" i="122" s="1"/>
  <c r="K86" i="122"/>
  <c r="J82" i="122"/>
  <c r="I82" i="122"/>
  <c r="I145" i="122" s="1"/>
  <c r="H82" i="122"/>
  <c r="H145" i="122" s="1"/>
  <c r="G82" i="122"/>
  <c r="G145" i="122" s="1"/>
  <c r="F82" i="122"/>
  <c r="K80" i="122"/>
  <c r="K79" i="122"/>
  <c r="K78" i="122"/>
  <c r="K82" i="122" s="1"/>
  <c r="K145" i="122" s="1"/>
  <c r="K77" i="122"/>
  <c r="J74" i="122"/>
  <c r="J144" i="122" s="1"/>
  <c r="I74" i="122"/>
  <c r="H74" i="122"/>
  <c r="G74" i="122"/>
  <c r="G144" i="122" s="1"/>
  <c r="F74" i="122"/>
  <c r="F144" i="122" s="1"/>
  <c r="K72" i="122"/>
  <c r="K71" i="122"/>
  <c r="K70" i="122"/>
  <c r="K74" i="122" s="1"/>
  <c r="K144" i="122" s="1"/>
  <c r="K69" i="122"/>
  <c r="K68" i="122"/>
  <c r="J64" i="122"/>
  <c r="J143" i="122" s="1"/>
  <c r="I64" i="122"/>
  <c r="I143" i="122" s="1"/>
  <c r="H64" i="122"/>
  <c r="H143" i="122" s="1"/>
  <c r="G64" i="122"/>
  <c r="F64" i="122"/>
  <c r="F143" i="122" s="1"/>
  <c r="K62" i="122"/>
  <c r="K61" i="122"/>
  <c r="K60" i="122"/>
  <c r="K59" i="122"/>
  <c r="S58" i="122"/>
  <c r="K58" i="122"/>
  <c r="S57" i="122"/>
  <c r="K57" i="122"/>
  <c r="S56" i="122"/>
  <c r="K56" i="122"/>
  <c r="S55" i="122"/>
  <c r="K55" i="122"/>
  <c r="S54" i="122"/>
  <c r="K54" i="122"/>
  <c r="S53" i="122"/>
  <c r="K53" i="122"/>
  <c r="K64" i="122" s="1"/>
  <c r="K143" i="122" s="1"/>
  <c r="J49" i="122"/>
  <c r="J142" i="122" s="1"/>
  <c r="H49" i="122"/>
  <c r="H142" i="122" s="1"/>
  <c r="G49" i="122"/>
  <c r="G142" i="122" s="1"/>
  <c r="F49" i="122"/>
  <c r="F142" i="122" s="1"/>
  <c r="I44" i="122"/>
  <c r="K44" i="122" s="1"/>
  <c r="K43" i="122"/>
  <c r="I43" i="122"/>
  <c r="I42" i="122"/>
  <c r="K42" i="122" s="1"/>
  <c r="I41" i="122"/>
  <c r="K41" i="122" s="1"/>
  <c r="I40" i="122"/>
  <c r="I49" i="122" s="1"/>
  <c r="I142" i="122" s="1"/>
  <c r="J36" i="122"/>
  <c r="J141" i="122" s="1"/>
  <c r="H36" i="122"/>
  <c r="H141" i="122" s="1"/>
  <c r="H152" i="122" s="1"/>
  <c r="G36" i="122"/>
  <c r="G141" i="122" s="1"/>
  <c r="G152" i="122" s="1"/>
  <c r="F36" i="122"/>
  <c r="F141" i="122" s="1"/>
  <c r="I29" i="122"/>
  <c r="K29" i="122" s="1"/>
  <c r="K28" i="122"/>
  <c r="K27" i="122"/>
  <c r="I27" i="122"/>
  <c r="I26" i="122"/>
  <c r="K26" i="122" s="1"/>
  <c r="K25" i="122"/>
  <c r="I25" i="122"/>
  <c r="K24" i="122"/>
  <c r="I24" i="122"/>
  <c r="K23" i="122"/>
  <c r="I23" i="122"/>
  <c r="I22" i="122"/>
  <c r="K22" i="122" s="1"/>
  <c r="K21" i="122"/>
  <c r="I21" i="122"/>
  <c r="I36" i="122" s="1"/>
  <c r="I141" i="122" s="1"/>
  <c r="K18" i="122"/>
  <c r="K150" i="122" s="1"/>
  <c r="I152" i="122" l="1"/>
  <c r="K36" i="122"/>
  <c r="K141" i="122" s="1"/>
  <c r="K108" i="122"/>
  <c r="K147" i="122" s="1"/>
  <c r="J152" i="122"/>
  <c r="F152" i="122"/>
  <c r="K40" i="122"/>
  <c r="K49" i="122" s="1"/>
  <c r="K142" i="122" s="1"/>
  <c r="K89" i="122"/>
  <c r="K98" i="122" s="1"/>
  <c r="K146" i="122" s="1"/>
  <c r="K103" i="122"/>
  <c r="K152" i="122" l="1"/>
  <c r="F155" i="122" l="1"/>
  <c r="F154" i="122"/>
  <c r="J150" i="86" l="1"/>
  <c r="I150" i="86"/>
  <c r="H150" i="86"/>
  <c r="H149" i="86"/>
  <c r="K148" i="86"/>
  <c r="G147" i="86"/>
  <c r="I144" i="86"/>
  <c r="G143" i="86"/>
  <c r="J137" i="86"/>
  <c r="J149" i="86" s="1"/>
  <c r="I137" i="86"/>
  <c r="I149" i="86" s="1"/>
  <c r="H137" i="86"/>
  <c r="G137" i="86"/>
  <c r="G149" i="86" s="1"/>
  <c r="F137" i="86"/>
  <c r="F149" i="86" s="1"/>
  <c r="K135" i="86"/>
  <c r="K134" i="86"/>
  <c r="K133" i="86"/>
  <c r="K132" i="86"/>
  <c r="K131" i="86"/>
  <c r="K137" i="86" s="1"/>
  <c r="K149" i="86" s="1"/>
  <c r="F119" i="86"/>
  <c r="J108" i="86"/>
  <c r="J147" i="86" s="1"/>
  <c r="I108" i="86"/>
  <c r="I147" i="86" s="1"/>
  <c r="H108" i="86"/>
  <c r="H147" i="86" s="1"/>
  <c r="G108" i="86"/>
  <c r="F108" i="86"/>
  <c r="F147" i="86" s="1"/>
  <c r="K106" i="86"/>
  <c r="I106" i="86"/>
  <c r="I105" i="86"/>
  <c r="K105" i="86" s="1"/>
  <c r="K104" i="86"/>
  <c r="K103" i="86"/>
  <c r="K102" i="86"/>
  <c r="J98" i="86"/>
  <c r="J146" i="86" s="1"/>
  <c r="H98" i="86"/>
  <c r="H146" i="86" s="1"/>
  <c r="G98" i="86"/>
  <c r="G146" i="86" s="1"/>
  <c r="F98" i="86"/>
  <c r="F146" i="86" s="1"/>
  <c r="K96" i="86"/>
  <c r="I96" i="86"/>
  <c r="I95" i="86"/>
  <c r="K95" i="86" s="1"/>
  <c r="K94" i="86"/>
  <c r="I94" i="86"/>
  <c r="K93" i="86"/>
  <c r="I92" i="86"/>
  <c r="K92" i="86" s="1"/>
  <c r="K91" i="86"/>
  <c r="I90" i="86"/>
  <c r="K90" i="86" s="1"/>
  <c r="K89" i="86"/>
  <c r="K88" i="86"/>
  <c r="K87" i="86"/>
  <c r="I86" i="86"/>
  <c r="I98" i="86" s="1"/>
  <c r="I146" i="86" s="1"/>
  <c r="J82" i="86"/>
  <c r="J145" i="86" s="1"/>
  <c r="I82" i="86"/>
  <c r="I145" i="86" s="1"/>
  <c r="H82" i="86"/>
  <c r="H145" i="86" s="1"/>
  <c r="G82" i="86"/>
  <c r="G145" i="86" s="1"/>
  <c r="F82" i="86"/>
  <c r="F145" i="86" s="1"/>
  <c r="K80" i="86"/>
  <c r="K79" i="86"/>
  <c r="K78" i="86"/>
  <c r="K77" i="86"/>
  <c r="K82" i="86" s="1"/>
  <c r="K145" i="86" s="1"/>
  <c r="J74" i="86"/>
  <c r="J144" i="86" s="1"/>
  <c r="I74" i="86"/>
  <c r="H74" i="86"/>
  <c r="H144" i="86" s="1"/>
  <c r="G74" i="86"/>
  <c r="G144" i="86" s="1"/>
  <c r="F74" i="86"/>
  <c r="F144" i="86" s="1"/>
  <c r="K72" i="86"/>
  <c r="K71" i="86"/>
  <c r="K70" i="86"/>
  <c r="K74" i="86" s="1"/>
  <c r="K144" i="86" s="1"/>
  <c r="K69" i="86"/>
  <c r="K68" i="86"/>
  <c r="V65" i="86"/>
  <c r="V64" i="86"/>
  <c r="J64" i="86"/>
  <c r="J143" i="86" s="1"/>
  <c r="I64" i="86"/>
  <c r="I143" i="86" s="1"/>
  <c r="H64" i="86"/>
  <c r="H143" i="86" s="1"/>
  <c r="G64" i="86"/>
  <c r="F64" i="86"/>
  <c r="F143" i="86" s="1"/>
  <c r="V63" i="86"/>
  <c r="V62" i="86"/>
  <c r="K62" i="86"/>
  <c r="V61" i="86"/>
  <c r="K61" i="86"/>
  <c r="V60" i="86"/>
  <c r="K60" i="86"/>
  <c r="V59" i="86"/>
  <c r="K59" i="86"/>
  <c r="V58" i="86"/>
  <c r="K58" i="86"/>
  <c r="V57" i="86"/>
  <c r="K57" i="86"/>
  <c r="V56" i="86"/>
  <c r="K56" i="86"/>
  <c r="V55" i="86"/>
  <c r="K55" i="86"/>
  <c r="V54" i="86"/>
  <c r="K54" i="86"/>
  <c r="V53" i="86"/>
  <c r="K53" i="86"/>
  <c r="K64" i="86" s="1"/>
  <c r="K143" i="86" s="1"/>
  <c r="J49" i="86"/>
  <c r="J142" i="86" s="1"/>
  <c r="I49" i="86"/>
  <c r="I142" i="86" s="1"/>
  <c r="H49" i="86"/>
  <c r="H142" i="86" s="1"/>
  <c r="G49" i="86"/>
  <c r="G142" i="86" s="1"/>
  <c r="F49" i="86"/>
  <c r="F142" i="86" s="1"/>
  <c r="K47" i="86"/>
  <c r="K46" i="86"/>
  <c r="K45" i="86"/>
  <c r="K49" i="86" s="1"/>
  <c r="K142" i="86" s="1"/>
  <c r="K44" i="86"/>
  <c r="K43" i="86"/>
  <c r="K42" i="86"/>
  <c r="K41" i="86"/>
  <c r="K40" i="86"/>
  <c r="J36" i="86"/>
  <c r="J141" i="86" s="1"/>
  <c r="I36" i="86"/>
  <c r="I141" i="86" s="1"/>
  <c r="H36" i="86"/>
  <c r="H141" i="86" s="1"/>
  <c r="G36" i="86"/>
  <c r="G141" i="86" s="1"/>
  <c r="F36" i="86"/>
  <c r="F141" i="86" s="1"/>
  <c r="I34" i="86"/>
  <c r="K34" i="86" s="1"/>
  <c r="I33" i="86"/>
  <c r="K33" i="86" s="1"/>
  <c r="K32" i="86"/>
  <c r="I32" i="86"/>
  <c r="K31" i="86"/>
  <c r="I31" i="86"/>
  <c r="I30" i="86"/>
  <c r="K30" i="86" s="1"/>
  <c r="K29" i="86"/>
  <c r="K28" i="86"/>
  <c r="K27" i="86"/>
  <c r="I27" i="86"/>
  <c r="K26" i="86"/>
  <c r="K25" i="86"/>
  <c r="I24" i="86"/>
  <c r="K24" i="86" s="1"/>
  <c r="K23" i="86"/>
  <c r="K22" i="86"/>
  <c r="K21" i="86"/>
  <c r="K18" i="86"/>
  <c r="K150" i="86" s="1"/>
  <c r="G152" i="86" l="1"/>
  <c r="H152" i="86"/>
  <c r="K108" i="86"/>
  <c r="K147" i="86" s="1"/>
  <c r="F152" i="86"/>
  <c r="I152" i="86"/>
  <c r="J152" i="86"/>
  <c r="K36" i="86"/>
  <c r="K141" i="86" s="1"/>
  <c r="K86" i="86"/>
  <c r="K98" i="86" s="1"/>
  <c r="K146" i="86" s="1"/>
  <c r="K152" i="86" l="1"/>
  <c r="F155" i="86" l="1"/>
  <c r="F154" i="86"/>
  <c r="J150" i="84" l="1"/>
  <c r="I150" i="84"/>
  <c r="H150" i="84"/>
  <c r="G149" i="84"/>
  <c r="J147" i="84"/>
  <c r="F147" i="84"/>
  <c r="J145" i="84"/>
  <c r="F145" i="84"/>
  <c r="H144" i="84"/>
  <c r="J143" i="84"/>
  <c r="G143" i="84"/>
  <c r="F143" i="84"/>
  <c r="J141" i="84"/>
  <c r="J137" i="84"/>
  <c r="J149" i="84" s="1"/>
  <c r="I137" i="84"/>
  <c r="I149" i="84" s="1"/>
  <c r="H137" i="84"/>
  <c r="H149" i="84" s="1"/>
  <c r="G137" i="84"/>
  <c r="F137" i="84"/>
  <c r="F149" i="84" s="1"/>
  <c r="K135" i="84"/>
  <c r="K134" i="84"/>
  <c r="K133" i="84"/>
  <c r="K132" i="84"/>
  <c r="K131" i="84"/>
  <c r="K137" i="84" s="1"/>
  <c r="K149" i="84" s="1"/>
  <c r="F119" i="84"/>
  <c r="F118" i="84"/>
  <c r="F117" i="84"/>
  <c r="F111" i="84"/>
  <c r="K148" i="84" s="1"/>
  <c r="J108" i="84"/>
  <c r="H108" i="84"/>
  <c r="H147" i="84" s="1"/>
  <c r="G108" i="84"/>
  <c r="G147" i="84" s="1"/>
  <c r="F108" i="84"/>
  <c r="I106" i="84"/>
  <c r="K106" i="84" s="1"/>
  <c r="K105" i="84"/>
  <c r="I105" i="84"/>
  <c r="I104" i="84"/>
  <c r="K104" i="84" s="1"/>
  <c r="K103" i="84"/>
  <c r="I103" i="84"/>
  <c r="I102" i="84"/>
  <c r="K102" i="84" s="1"/>
  <c r="J98" i="84"/>
  <c r="J146" i="84" s="1"/>
  <c r="H98" i="84"/>
  <c r="H146" i="84" s="1"/>
  <c r="G98" i="84"/>
  <c r="G146" i="84" s="1"/>
  <c r="F98" i="84"/>
  <c r="F146" i="84" s="1"/>
  <c r="I96" i="84"/>
  <c r="K96" i="84" s="1"/>
  <c r="K95" i="84"/>
  <c r="I95" i="84"/>
  <c r="I94" i="84"/>
  <c r="K94" i="84" s="1"/>
  <c r="K93" i="84"/>
  <c r="I93" i="84"/>
  <c r="I92" i="84"/>
  <c r="K92" i="84" s="1"/>
  <c r="K91" i="84"/>
  <c r="I91" i="84"/>
  <c r="I90" i="84"/>
  <c r="K90" i="84" s="1"/>
  <c r="K89" i="84"/>
  <c r="I89" i="84"/>
  <c r="I88" i="84"/>
  <c r="K88" i="84" s="1"/>
  <c r="K87" i="84"/>
  <c r="I87" i="84"/>
  <c r="I86" i="84"/>
  <c r="I98" i="84" s="1"/>
  <c r="I146" i="84" s="1"/>
  <c r="J82" i="84"/>
  <c r="I82" i="84"/>
  <c r="I145" i="84" s="1"/>
  <c r="H82" i="84"/>
  <c r="H145" i="84" s="1"/>
  <c r="G82" i="84"/>
  <c r="G145" i="84" s="1"/>
  <c r="F82" i="84"/>
  <c r="K80" i="84"/>
  <c r="K79" i="84"/>
  <c r="K78" i="84"/>
  <c r="K82" i="84" s="1"/>
  <c r="K145" i="84" s="1"/>
  <c r="K77" i="84"/>
  <c r="J74" i="84"/>
  <c r="J144" i="84" s="1"/>
  <c r="I74" i="84"/>
  <c r="I144" i="84" s="1"/>
  <c r="H74" i="84"/>
  <c r="G74" i="84"/>
  <c r="G144" i="84" s="1"/>
  <c r="F74" i="84"/>
  <c r="F144" i="84" s="1"/>
  <c r="K72" i="84"/>
  <c r="K71" i="84"/>
  <c r="K70" i="84"/>
  <c r="K69" i="84"/>
  <c r="K68" i="84"/>
  <c r="K74" i="84" s="1"/>
  <c r="K144" i="84" s="1"/>
  <c r="J64" i="84"/>
  <c r="I64" i="84"/>
  <c r="I143" i="84" s="1"/>
  <c r="H64" i="84"/>
  <c r="H143" i="84" s="1"/>
  <c r="G64" i="84"/>
  <c r="F64" i="84"/>
  <c r="K62" i="84"/>
  <c r="K61" i="84"/>
  <c r="K60" i="84"/>
  <c r="K59" i="84"/>
  <c r="K58" i="84"/>
  <c r="K57" i="84"/>
  <c r="K56" i="84"/>
  <c r="K55" i="84"/>
  <c r="K54" i="84"/>
  <c r="K53" i="84"/>
  <c r="K64" i="84" s="1"/>
  <c r="K143" i="84" s="1"/>
  <c r="J49" i="84"/>
  <c r="J142" i="84" s="1"/>
  <c r="I49" i="84"/>
  <c r="I142" i="84" s="1"/>
  <c r="H49" i="84"/>
  <c r="H142" i="84" s="1"/>
  <c r="G49" i="84"/>
  <c r="G142" i="84" s="1"/>
  <c r="F49" i="84"/>
  <c r="F142" i="84" s="1"/>
  <c r="K47" i="84"/>
  <c r="K46" i="84"/>
  <c r="K45" i="84"/>
  <c r="K44" i="84"/>
  <c r="K43" i="84"/>
  <c r="K42" i="84"/>
  <c r="K41" i="84"/>
  <c r="K40" i="84"/>
  <c r="K49" i="84" s="1"/>
  <c r="K142" i="84" s="1"/>
  <c r="J36" i="84"/>
  <c r="H36" i="84"/>
  <c r="H141" i="84" s="1"/>
  <c r="G36" i="84"/>
  <c r="G141" i="84" s="1"/>
  <c r="F36" i="84"/>
  <c r="F141" i="84" s="1"/>
  <c r="I34" i="84"/>
  <c r="K34" i="84" s="1"/>
  <c r="I33" i="84"/>
  <c r="K33" i="84" s="1"/>
  <c r="I32" i="84"/>
  <c r="K32" i="84" s="1"/>
  <c r="I31" i="84"/>
  <c r="K31" i="84" s="1"/>
  <c r="I30" i="84"/>
  <c r="K30" i="84" s="1"/>
  <c r="I29" i="84"/>
  <c r="K29" i="84" s="1"/>
  <c r="I28" i="84"/>
  <c r="K28" i="84" s="1"/>
  <c r="I27" i="84"/>
  <c r="K27" i="84" s="1"/>
  <c r="I26" i="84"/>
  <c r="K26" i="84" s="1"/>
  <c r="I25" i="84"/>
  <c r="K25" i="84" s="1"/>
  <c r="I24" i="84"/>
  <c r="K24" i="84" s="1"/>
  <c r="I23" i="84"/>
  <c r="K23" i="84" s="1"/>
  <c r="I22" i="84"/>
  <c r="K22" i="84" s="1"/>
  <c r="I21" i="84"/>
  <c r="K21" i="84" s="1"/>
  <c r="K18" i="84"/>
  <c r="K150" i="84" s="1"/>
  <c r="K108" i="84" l="1"/>
  <c r="K147" i="84" s="1"/>
  <c r="F152" i="84"/>
  <c r="J152" i="84"/>
  <c r="G152" i="84"/>
  <c r="K36" i="84"/>
  <c r="K141" i="84" s="1"/>
  <c r="K152" i="84" s="1"/>
  <c r="H152" i="84"/>
  <c r="K86" i="84"/>
  <c r="K98" i="84" s="1"/>
  <c r="K146" i="84" s="1"/>
  <c r="I108" i="84"/>
  <c r="I147" i="84" s="1"/>
  <c r="I36" i="84"/>
  <c r="I141" i="84" s="1"/>
  <c r="I152" i="84" s="1"/>
  <c r="F154" i="84" l="1"/>
  <c r="F155" i="84"/>
  <c r="J150" i="113" l="1"/>
  <c r="I150" i="113"/>
  <c r="H150" i="113"/>
  <c r="H149" i="113"/>
  <c r="K148" i="113"/>
  <c r="J144" i="113"/>
  <c r="I144" i="113"/>
  <c r="G143" i="113"/>
  <c r="J137" i="113"/>
  <c r="J149" i="113" s="1"/>
  <c r="I137" i="113"/>
  <c r="I149" i="113" s="1"/>
  <c r="H137" i="113"/>
  <c r="G137" i="113"/>
  <c r="G149" i="113" s="1"/>
  <c r="F137" i="113"/>
  <c r="F149" i="113" s="1"/>
  <c r="K135" i="113"/>
  <c r="K134" i="113"/>
  <c r="K133" i="113"/>
  <c r="K132" i="113"/>
  <c r="K131" i="113"/>
  <c r="K137" i="113" s="1"/>
  <c r="K149" i="113" s="1"/>
  <c r="F119" i="113"/>
  <c r="F123" i="113" s="1"/>
  <c r="F127" i="113" s="1"/>
  <c r="J108" i="113"/>
  <c r="J147" i="113" s="1"/>
  <c r="H108" i="113"/>
  <c r="H147" i="113" s="1"/>
  <c r="G108" i="113"/>
  <c r="G147" i="113" s="1"/>
  <c r="F108" i="113"/>
  <c r="F147" i="113" s="1"/>
  <c r="I106" i="113"/>
  <c r="K106" i="113" s="1"/>
  <c r="I105" i="113"/>
  <c r="K105" i="113" s="1"/>
  <c r="I104" i="113"/>
  <c r="K104" i="113" s="1"/>
  <c r="K103" i="113"/>
  <c r="I103" i="113"/>
  <c r="I102" i="113"/>
  <c r="K102" i="113" s="1"/>
  <c r="J98" i="113"/>
  <c r="J146" i="113" s="1"/>
  <c r="H98" i="113"/>
  <c r="H146" i="113" s="1"/>
  <c r="G98" i="113"/>
  <c r="G146" i="113" s="1"/>
  <c r="F98" i="113"/>
  <c r="F146" i="113" s="1"/>
  <c r="I96" i="113"/>
  <c r="K96" i="113" s="1"/>
  <c r="I95" i="113"/>
  <c r="K95" i="113" s="1"/>
  <c r="I94" i="113"/>
  <c r="K94" i="113" s="1"/>
  <c r="K93" i="113"/>
  <c r="I93" i="113"/>
  <c r="I92" i="113"/>
  <c r="K92" i="113" s="1"/>
  <c r="I91" i="113"/>
  <c r="K91" i="113" s="1"/>
  <c r="I90" i="113"/>
  <c r="K90" i="113" s="1"/>
  <c r="K89" i="113"/>
  <c r="I89" i="113"/>
  <c r="I88" i="113"/>
  <c r="K88" i="113" s="1"/>
  <c r="I87" i="113"/>
  <c r="K87" i="113" s="1"/>
  <c r="I86" i="113"/>
  <c r="I98" i="113" s="1"/>
  <c r="I146" i="113" s="1"/>
  <c r="J82" i="113"/>
  <c r="J145" i="113" s="1"/>
  <c r="I82" i="113"/>
  <c r="I145" i="113" s="1"/>
  <c r="H82" i="113"/>
  <c r="H145" i="113" s="1"/>
  <c r="G82" i="113"/>
  <c r="G145" i="113" s="1"/>
  <c r="F82" i="113"/>
  <c r="F145" i="113" s="1"/>
  <c r="K80" i="113"/>
  <c r="K79" i="113"/>
  <c r="K78" i="113"/>
  <c r="K82" i="113" s="1"/>
  <c r="K145" i="113" s="1"/>
  <c r="K77" i="113"/>
  <c r="J74" i="113"/>
  <c r="I74" i="113"/>
  <c r="H74" i="113"/>
  <c r="H144" i="113" s="1"/>
  <c r="G74" i="113"/>
  <c r="G144" i="113" s="1"/>
  <c r="F74" i="113"/>
  <c r="F144" i="113" s="1"/>
  <c r="K72" i="113"/>
  <c r="K71" i="113"/>
  <c r="K70" i="113"/>
  <c r="K69" i="113"/>
  <c r="K68" i="113"/>
  <c r="K74" i="113" s="1"/>
  <c r="K144" i="113" s="1"/>
  <c r="J64" i="113"/>
  <c r="J143" i="113" s="1"/>
  <c r="I64" i="113"/>
  <c r="I143" i="113" s="1"/>
  <c r="H64" i="113"/>
  <c r="H143" i="113" s="1"/>
  <c r="G64" i="113"/>
  <c r="F64" i="113"/>
  <c r="F143" i="113" s="1"/>
  <c r="K62" i="113"/>
  <c r="K61" i="113"/>
  <c r="K60" i="113"/>
  <c r="K59" i="113"/>
  <c r="K58" i="113"/>
  <c r="K57" i="113"/>
  <c r="K56" i="113"/>
  <c r="K55" i="113"/>
  <c r="K54" i="113"/>
  <c r="K53" i="113"/>
  <c r="K64" i="113" s="1"/>
  <c r="K143" i="113" s="1"/>
  <c r="J49" i="113"/>
  <c r="J142" i="113" s="1"/>
  <c r="I49" i="113"/>
  <c r="I142" i="113" s="1"/>
  <c r="H49" i="113"/>
  <c r="H142" i="113" s="1"/>
  <c r="G49" i="113"/>
  <c r="G142" i="113" s="1"/>
  <c r="F49" i="113"/>
  <c r="F142" i="113" s="1"/>
  <c r="K47" i="113"/>
  <c r="K46" i="113"/>
  <c r="K45" i="113"/>
  <c r="K44" i="113"/>
  <c r="K43" i="113"/>
  <c r="K42" i="113"/>
  <c r="K41" i="113"/>
  <c r="K49" i="113" s="1"/>
  <c r="K142" i="113" s="1"/>
  <c r="K40" i="113"/>
  <c r="J36" i="113"/>
  <c r="J141" i="113" s="1"/>
  <c r="J152" i="113" s="1"/>
  <c r="H36" i="113"/>
  <c r="H141" i="113" s="1"/>
  <c r="G36" i="113"/>
  <c r="G141" i="113" s="1"/>
  <c r="G152" i="113" s="1"/>
  <c r="F36" i="113"/>
  <c r="F141" i="113" s="1"/>
  <c r="K34" i="113"/>
  <c r="I34" i="113"/>
  <c r="I33" i="113"/>
  <c r="K33" i="113" s="1"/>
  <c r="K32" i="113"/>
  <c r="I32" i="113"/>
  <c r="I31" i="113"/>
  <c r="K31" i="113" s="1"/>
  <c r="K30" i="113"/>
  <c r="I30" i="113"/>
  <c r="K29" i="113"/>
  <c r="I28" i="113"/>
  <c r="K28" i="113" s="1"/>
  <c r="I27" i="113"/>
  <c r="K27" i="113" s="1"/>
  <c r="K26" i="113"/>
  <c r="I26" i="113"/>
  <c r="I25" i="113"/>
  <c r="K25" i="113" s="1"/>
  <c r="I24" i="113"/>
  <c r="K24" i="113" s="1"/>
  <c r="I23" i="113"/>
  <c r="K23" i="113" s="1"/>
  <c r="K22" i="113"/>
  <c r="I22" i="113"/>
  <c r="I21" i="113"/>
  <c r="K21" i="113" s="1"/>
  <c r="K18" i="113"/>
  <c r="K150" i="113" s="1"/>
  <c r="H152" i="113" l="1"/>
  <c r="K108" i="113"/>
  <c r="K147" i="113" s="1"/>
  <c r="K36" i="113"/>
  <c r="K141" i="113" s="1"/>
  <c r="F152" i="113"/>
  <c r="K86" i="113"/>
  <c r="K98" i="113" s="1"/>
  <c r="K146" i="113" s="1"/>
  <c r="I108" i="113"/>
  <c r="I147" i="113" s="1"/>
  <c r="I36" i="113"/>
  <c r="I141" i="113" s="1"/>
  <c r="I152" i="113" s="1"/>
  <c r="K152" i="113" l="1"/>
  <c r="F155" i="113" l="1"/>
  <c r="F154" i="113"/>
  <c r="I150" i="82" l="1"/>
  <c r="H149" i="82"/>
  <c r="K148" i="82"/>
  <c r="I144" i="82"/>
  <c r="G143" i="82"/>
  <c r="J137" i="82"/>
  <c r="J149" i="82" s="1"/>
  <c r="I137" i="82"/>
  <c r="I149" i="82" s="1"/>
  <c r="H137" i="82"/>
  <c r="G137" i="82"/>
  <c r="G149" i="82" s="1"/>
  <c r="F137" i="82"/>
  <c r="F149" i="82" s="1"/>
  <c r="K135" i="82"/>
  <c r="K134" i="82"/>
  <c r="K133" i="82"/>
  <c r="K132" i="82"/>
  <c r="K131" i="82"/>
  <c r="K137" i="82" s="1"/>
  <c r="K149" i="82" s="1"/>
  <c r="F119" i="82"/>
  <c r="F123" i="82" s="1"/>
  <c r="F127" i="82" s="1"/>
  <c r="J108" i="82"/>
  <c r="J147" i="82" s="1"/>
  <c r="H108" i="82"/>
  <c r="H147" i="82" s="1"/>
  <c r="G108" i="82"/>
  <c r="G147" i="82" s="1"/>
  <c r="F108" i="82"/>
  <c r="F147" i="82" s="1"/>
  <c r="I106" i="82"/>
  <c r="K106" i="82" s="1"/>
  <c r="I105" i="82"/>
  <c r="K105" i="82" s="1"/>
  <c r="I104" i="82"/>
  <c r="K104" i="82" s="1"/>
  <c r="K103" i="82"/>
  <c r="I103" i="82"/>
  <c r="I102" i="82"/>
  <c r="K102" i="82" s="1"/>
  <c r="J98" i="82"/>
  <c r="J146" i="82" s="1"/>
  <c r="H98" i="82"/>
  <c r="H146" i="82" s="1"/>
  <c r="G98" i="82"/>
  <c r="G146" i="82" s="1"/>
  <c r="F98" i="82"/>
  <c r="F146" i="82" s="1"/>
  <c r="I96" i="82"/>
  <c r="K96" i="82" s="1"/>
  <c r="I95" i="82"/>
  <c r="K95" i="82" s="1"/>
  <c r="I94" i="82"/>
  <c r="K94" i="82" s="1"/>
  <c r="K93" i="82"/>
  <c r="I93" i="82"/>
  <c r="I92" i="82"/>
  <c r="K92" i="82" s="1"/>
  <c r="I91" i="82"/>
  <c r="K91" i="82" s="1"/>
  <c r="I90" i="82"/>
  <c r="K90" i="82" s="1"/>
  <c r="K89" i="82"/>
  <c r="I89" i="82"/>
  <c r="I88" i="82"/>
  <c r="K88" i="82" s="1"/>
  <c r="I87" i="82"/>
  <c r="K87" i="82" s="1"/>
  <c r="I86" i="82"/>
  <c r="I98" i="82" s="1"/>
  <c r="I146" i="82" s="1"/>
  <c r="J82" i="82"/>
  <c r="J145" i="82" s="1"/>
  <c r="I82" i="82"/>
  <c r="I145" i="82" s="1"/>
  <c r="H82" i="82"/>
  <c r="H145" i="82" s="1"/>
  <c r="G82" i="82"/>
  <c r="G145" i="82" s="1"/>
  <c r="F82" i="82"/>
  <c r="F145" i="82" s="1"/>
  <c r="K80" i="82"/>
  <c r="K79" i="82"/>
  <c r="K78" i="82"/>
  <c r="K82" i="82" s="1"/>
  <c r="K145" i="82" s="1"/>
  <c r="K77" i="82"/>
  <c r="J74" i="82"/>
  <c r="J144" i="82" s="1"/>
  <c r="I74" i="82"/>
  <c r="H74" i="82"/>
  <c r="H144" i="82" s="1"/>
  <c r="G74" i="82"/>
  <c r="G144" i="82" s="1"/>
  <c r="F74" i="82"/>
  <c r="F144" i="82" s="1"/>
  <c r="K72" i="82"/>
  <c r="K71" i="82"/>
  <c r="K70" i="82"/>
  <c r="K69" i="82"/>
  <c r="K68" i="82"/>
  <c r="K74" i="82" s="1"/>
  <c r="K144" i="82" s="1"/>
  <c r="J64" i="82"/>
  <c r="J143" i="82" s="1"/>
  <c r="H64" i="82"/>
  <c r="H143" i="82" s="1"/>
  <c r="G64" i="82"/>
  <c r="F64" i="82"/>
  <c r="F143" i="82" s="1"/>
  <c r="K62" i="82"/>
  <c r="K61" i="82"/>
  <c r="K60" i="82"/>
  <c r="K59" i="82"/>
  <c r="K58" i="82"/>
  <c r="K57" i="82"/>
  <c r="K56" i="82"/>
  <c r="K55" i="82"/>
  <c r="K54" i="82"/>
  <c r="I53" i="82"/>
  <c r="K53" i="82" s="1"/>
  <c r="K64" i="82" s="1"/>
  <c r="K143" i="82" s="1"/>
  <c r="J49" i="82"/>
  <c r="J142" i="82" s="1"/>
  <c r="I49" i="82"/>
  <c r="I142" i="82" s="1"/>
  <c r="H49" i="82"/>
  <c r="H142" i="82" s="1"/>
  <c r="G49" i="82"/>
  <c r="G142" i="82" s="1"/>
  <c r="F49" i="82"/>
  <c r="F142" i="82" s="1"/>
  <c r="K47" i="82"/>
  <c r="K46" i="82"/>
  <c r="K45" i="82"/>
  <c r="K44" i="82"/>
  <c r="K43" i="82"/>
  <c r="K42" i="82"/>
  <c r="I42" i="82"/>
  <c r="K41" i="82"/>
  <c r="K40" i="82"/>
  <c r="K49" i="82" s="1"/>
  <c r="K142" i="82" s="1"/>
  <c r="J36" i="82"/>
  <c r="J141" i="82" s="1"/>
  <c r="H36" i="82"/>
  <c r="H141" i="82" s="1"/>
  <c r="G36" i="82"/>
  <c r="G141" i="82" s="1"/>
  <c r="F36" i="82"/>
  <c r="F141" i="82" s="1"/>
  <c r="I34" i="82"/>
  <c r="K34" i="82" s="1"/>
  <c r="K33" i="82"/>
  <c r="I33" i="82"/>
  <c r="I32" i="82"/>
  <c r="K32" i="82" s="1"/>
  <c r="K31" i="82"/>
  <c r="I31" i="82"/>
  <c r="I30" i="82"/>
  <c r="K30" i="82" s="1"/>
  <c r="K29" i="82"/>
  <c r="I29" i="82"/>
  <c r="I28" i="82"/>
  <c r="K28" i="82" s="1"/>
  <c r="K27" i="82"/>
  <c r="I27" i="82"/>
  <c r="I26" i="82"/>
  <c r="K26" i="82" s="1"/>
  <c r="K25" i="82"/>
  <c r="I25" i="82"/>
  <c r="I24" i="82"/>
  <c r="K24" i="82" s="1"/>
  <c r="K23" i="82"/>
  <c r="I23" i="82"/>
  <c r="I22" i="82"/>
  <c r="K22" i="82" s="1"/>
  <c r="K21" i="82"/>
  <c r="I21" i="82"/>
  <c r="I36" i="82" s="1"/>
  <c r="I141" i="82" s="1"/>
  <c r="J150" i="82"/>
  <c r="H150" i="82"/>
  <c r="F152" i="82" l="1"/>
  <c r="G152" i="82"/>
  <c r="J152" i="82"/>
  <c r="K108" i="82"/>
  <c r="K147" i="82" s="1"/>
  <c r="H152" i="82"/>
  <c r="K36" i="82"/>
  <c r="K141" i="82" s="1"/>
  <c r="K18" i="82"/>
  <c r="K150" i="82" s="1"/>
  <c r="I64" i="82"/>
  <c r="I143" i="82" s="1"/>
  <c r="K86" i="82"/>
  <c r="K98" i="82" s="1"/>
  <c r="K146" i="82" s="1"/>
  <c r="I108" i="82"/>
  <c r="I147" i="82" s="1"/>
  <c r="I152" i="82" s="1"/>
  <c r="K152" i="82" l="1"/>
  <c r="F155" i="82" l="1"/>
  <c r="F154" i="82"/>
  <c r="J150" i="81" l="1"/>
  <c r="I150" i="81"/>
  <c r="H150" i="81"/>
  <c r="J149" i="81"/>
  <c r="K148" i="81"/>
  <c r="J146" i="81"/>
  <c r="G146" i="81"/>
  <c r="H145" i="81"/>
  <c r="F144" i="81"/>
  <c r="J142" i="81"/>
  <c r="G142" i="81"/>
  <c r="H141" i="81"/>
  <c r="J137" i="81"/>
  <c r="I137" i="81"/>
  <c r="I149" i="81" s="1"/>
  <c r="H137" i="81"/>
  <c r="H149" i="81" s="1"/>
  <c r="G137" i="81"/>
  <c r="G149" i="81" s="1"/>
  <c r="F137" i="81"/>
  <c r="F149" i="81" s="1"/>
  <c r="K135" i="81"/>
  <c r="K134" i="81"/>
  <c r="K133" i="81"/>
  <c r="K137" i="81" s="1"/>
  <c r="K149" i="81" s="1"/>
  <c r="K132" i="81"/>
  <c r="K131" i="81"/>
  <c r="F119" i="81"/>
  <c r="F123" i="81" s="1"/>
  <c r="F127" i="81" s="1"/>
  <c r="F118" i="81"/>
  <c r="F111" i="81"/>
  <c r="J108" i="81"/>
  <c r="J147" i="81" s="1"/>
  <c r="H108" i="81"/>
  <c r="H147" i="81" s="1"/>
  <c r="G108" i="81"/>
  <c r="G147" i="81" s="1"/>
  <c r="F108" i="81"/>
  <c r="F147" i="81" s="1"/>
  <c r="I106" i="81"/>
  <c r="K106" i="81" s="1"/>
  <c r="K105" i="81"/>
  <c r="I105" i="81"/>
  <c r="K104" i="81"/>
  <c r="I104" i="81"/>
  <c r="I103" i="81"/>
  <c r="K103" i="81" s="1"/>
  <c r="I102" i="81"/>
  <c r="I108" i="81" s="1"/>
  <c r="I147" i="81" s="1"/>
  <c r="J98" i="81"/>
  <c r="H98" i="81"/>
  <c r="H146" i="81" s="1"/>
  <c r="G98" i="81"/>
  <c r="F98" i="81"/>
  <c r="F146" i="81" s="1"/>
  <c r="I96" i="81"/>
  <c r="K96" i="81" s="1"/>
  <c r="K95" i="81"/>
  <c r="I95" i="81"/>
  <c r="I94" i="81"/>
  <c r="K94" i="81" s="1"/>
  <c r="I93" i="81"/>
  <c r="K93" i="81" s="1"/>
  <c r="I92" i="81"/>
  <c r="K92" i="81" s="1"/>
  <c r="K91" i="81"/>
  <c r="I91" i="81"/>
  <c r="I90" i="81"/>
  <c r="K90" i="81" s="1"/>
  <c r="I89" i="81"/>
  <c r="K89" i="81" s="1"/>
  <c r="I88" i="81"/>
  <c r="K88" i="81" s="1"/>
  <c r="K87" i="81"/>
  <c r="I87" i="81"/>
  <c r="I86" i="81"/>
  <c r="I98" i="81" s="1"/>
  <c r="I146" i="81" s="1"/>
  <c r="J82" i="81"/>
  <c r="J145" i="81" s="1"/>
  <c r="I82" i="81"/>
  <c r="I145" i="81" s="1"/>
  <c r="H82" i="81"/>
  <c r="G82" i="81"/>
  <c r="G145" i="81" s="1"/>
  <c r="F82" i="81"/>
  <c r="F145" i="81" s="1"/>
  <c r="K80" i="81"/>
  <c r="K79" i="81"/>
  <c r="K78" i="81"/>
  <c r="K77" i="81"/>
  <c r="K82" i="81" s="1"/>
  <c r="K145" i="81" s="1"/>
  <c r="J74" i="81"/>
  <c r="J144" i="81" s="1"/>
  <c r="I74" i="81"/>
  <c r="I144" i="81" s="1"/>
  <c r="H74" i="81"/>
  <c r="H144" i="81" s="1"/>
  <c r="G74" i="81"/>
  <c r="G144" i="81" s="1"/>
  <c r="F74" i="81"/>
  <c r="K72" i="81"/>
  <c r="K71" i="81"/>
  <c r="I70" i="81"/>
  <c r="K70" i="81" s="1"/>
  <c r="K69" i="81"/>
  <c r="I69" i="81"/>
  <c r="I68" i="81"/>
  <c r="K68" i="81" s="1"/>
  <c r="H64" i="81"/>
  <c r="H143" i="81" s="1"/>
  <c r="G64" i="81"/>
  <c r="G143" i="81" s="1"/>
  <c r="F64" i="81"/>
  <c r="F143" i="81" s="1"/>
  <c r="K62" i="81"/>
  <c r="K61" i="81"/>
  <c r="K60" i="81"/>
  <c r="K59" i="81"/>
  <c r="I59" i="81"/>
  <c r="J58" i="81"/>
  <c r="J64" i="81" s="1"/>
  <c r="J143" i="81" s="1"/>
  <c r="I58" i="81"/>
  <c r="I64" i="81" s="1"/>
  <c r="I143" i="81" s="1"/>
  <c r="H58" i="81"/>
  <c r="K57" i="81"/>
  <c r="K56" i="81"/>
  <c r="K55" i="81"/>
  <c r="K54" i="81"/>
  <c r="K53" i="81"/>
  <c r="J49" i="81"/>
  <c r="H49" i="81"/>
  <c r="H142" i="81" s="1"/>
  <c r="G49" i="81"/>
  <c r="F49" i="81"/>
  <c r="F142" i="81" s="1"/>
  <c r="K47" i="81"/>
  <c r="K46" i="81"/>
  <c r="K45" i="81"/>
  <c r="K44" i="81"/>
  <c r="K43" i="81"/>
  <c r="K42" i="81"/>
  <c r="I42" i="81"/>
  <c r="K41" i="81"/>
  <c r="I41" i="81"/>
  <c r="I40" i="81"/>
  <c r="I49" i="81" s="1"/>
  <c r="I142" i="81" s="1"/>
  <c r="J36" i="81"/>
  <c r="J141" i="81" s="1"/>
  <c r="H36" i="81"/>
  <c r="G36" i="81"/>
  <c r="G141" i="81" s="1"/>
  <c r="F36" i="81"/>
  <c r="F141" i="81" s="1"/>
  <c r="I34" i="81"/>
  <c r="K34" i="81" s="1"/>
  <c r="I33" i="81"/>
  <c r="K33" i="81" s="1"/>
  <c r="I32" i="81"/>
  <c r="K32" i="81" s="1"/>
  <c r="K31" i="81"/>
  <c r="I31" i="81"/>
  <c r="I30" i="81"/>
  <c r="K30" i="81" s="1"/>
  <c r="I29" i="81"/>
  <c r="K29" i="81" s="1"/>
  <c r="I28" i="81"/>
  <c r="K28" i="81" s="1"/>
  <c r="K27" i="81"/>
  <c r="I27" i="81"/>
  <c r="I26" i="81"/>
  <c r="K26" i="81" s="1"/>
  <c r="I25" i="81"/>
  <c r="K25" i="81" s="1"/>
  <c r="I24" i="81"/>
  <c r="K24" i="81" s="1"/>
  <c r="K23" i="81"/>
  <c r="I23" i="81"/>
  <c r="I22" i="81"/>
  <c r="K22" i="81" s="1"/>
  <c r="I21" i="81"/>
  <c r="I36" i="81" s="1"/>
  <c r="I141" i="81" s="1"/>
  <c r="K18" i="81"/>
  <c r="K150" i="81" s="1"/>
  <c r="I152" i="81" l="1"/>
  <c r="F152" i="81"/>
  <c r="H152" i="81"/>
  <c r="G152" i="81"/>
  <c r="G153" i="81" s="1"/>
  <c r="K64" i="81"/>
  <c r="K143" i="81" s="1"/>
  <c r="K74" i="81"/>
  <c r="K144" i="81" s="1"/>
  <c r="J152" i="81"/>
  <c r="K21" i="81"/>
  <c r="K36" i="81" s="1"/>
  <c r="K141" i="81" s="1"/>
  <c r="K152" i="81" s="1"/>
  <c r="K40" i="81"/>
  <c r="K49" i="81" s="1"/>
  <c r="K142" i="81" s="1"/>
  <c r="K58" i="81"/>
  <c r="K102" i="81"/>
  <c r="K108" i="81" s="1"/>
  <c r="K147" i="81" s="1"/>
  <c r="K86" i="81"/>
  <c r="K98" i="81" s="1"/>
  <c r="K146" i="81" s="1"/>
  <c r="F155" i="81" l="1"/>
  <c r="F154" i="81"/>
  <c r="J150" i="80" l="1"/>
  <c r="I150" i="80"/>
  <c r="H150" i="80"/>
  <c r="H149" i="80"/>
  <c r="K148" i="80"/>
  <c r="G147" i="80"/>
  <c r="G143" i="80"/>
  <c r="J137" i="80"/>
  <c r="J149" i="80" s="1"/>
  <c r="I137" i="80"/>
  <c r="I149" i="80" s="1"/>
  <c r="H137" i="80"/>
  <c r="G137" i="80"/>
  <c r="G149" i="80" s="1"/>
  <c r="F137" i="80"/>
  <c r="F149" i="80" s="1"/>
  <c r="K135" i="80"/>
  <c r="K134" i="80"/>
  <c r="K133" i="80"/>
  <c r="K132" i="80"/>
  <c r="K131" i="80"/>
  <c r="K137" i="80" s="1"/>
  <c r="K149" i="80" s="1"/>
  <c r="F119" i="80"/>
  <c r="J108" i="80"/>
  <c r="J147" i="80" s="1"/>
  <c r="H108" i="80"/>
  <c r="H147" i="80" s="1"/>
  <c r="G108" i="80"/>
  <c r="F108" i="80"/>
  <c r="F147" i="80" s="1"/>
  <c r="K106" i="80"/>
  <c r="I106" i="80"/>
  <c r="I105" i="80"/>
  <c r="K105" i="80" s="1"/>
  <c r="I104" i="80"/>
  <c r="K104" i="80" s="1"/>
  <c r="I103" i="80"/>
  <c r="I108" i="80" s="1"/>
  <c r="I147" i="80" s="1"/>
  <c r="K102" i="80"/>
  <c r="J98" i="80"/>
  <c r="J146" i="80" s="1"/>
  <c r="H98" i="80"/>
  <c r="H146" i="80" s="1"/>
  <c r="G98" i="80"/>
  <c r="G146" i="80" s="1"/>
  <c r="F98" i="80"/>
  <c r="F146" i="80" s="1"/>
  <c r="I96" i="80"/>
  <c r="K96" i="80" s="1"/>
  <c r="K95" i="80"/>
  <c r="I95" i="80"/>
  <c r="I94" i="80"/>
  <c r="K94" i="80" s="1"/>
  <c r="I93" i="80"/>
  <c r="K93" i="80" s="1"/>
  <c r="I92" i="80"/>
  <c r="K92" i="80" s="1"/>
  <c r="K91" i="80"/>
  <c r="I91" i="80"/>
  <c r="I90" i="80"/>
  <c r="K90" i="80" s="1"/>
  <c r="I89" i="80"/>
  <c r="K89" i="80" s="1"/>
  <c r="I88" i="80"/>
  <c r="K88" i="80" s="1"/>
  <c r="K87" i="80"/>
  <c r="I87" i="80"/>
  <c r="I98" i="80" s="1"/>
  <c r="I146" i="80" s="1"/>
  <c r="K86" i="80"/>
  <c r="J82" i="80"/>
  <c r="J145" i="80" s="1"/>
  <c r="I82" i="80"/>
  <c r="I145" i="80" s="1"/>
  <c r="H82" i="80"/>
  <c r="H145" i="80" s="1"/>
  <c r="G82" i="80"/>
  <c r="G145" i="80" s="1"/>
  <c r="F82" i="80"/>
  <c r="F145" i="80" s="1"/>
  <c r="K80" i="80"/>
  <c r="K79" i="80"/>
  <c r="K78" i="80"/>
  <c r="K77" i="80"/>
  <c r="K82" i="80" s="1"/>
  <c r="K145" i="80" s="1"/>
  <c r="J74" i="80"/>
  <c r="J144" i="80" s="1"/>
  <c r="I74" i="80"/>
  <c r="I144" i="80" s="1"/>
  <c r="H74" i="80"/>
  <c r="H144" i="80" s="1"/>
  <c r="G74" i="80"/>
  <c r="G144" i="80" s="1"/>
  <c r="F74" i="80"/>
  <c r="F144" i="80" s="1"/>
  <c r="K72" i="80"/>
  <c r="K71" i="80"/>
  <c r="K70" i="80"/>
  <c r="K69" i="80"/>
  <c r="K68" i="80"/>
  <c r="K74" i="80" s="1"/>
  <c r="K144" i="80" s="1"/>
  <c r="I68" i="80"/>
  <c r="J64" i="80"/>
  <c r="J143" i="80" s="1"/>
  <c r="H64" i="80"/>
  <c r="H143" i="80" s="1"/>
  <c r="G64" i="80"/>
  <c r="F64" i="80"/>
  <c r="F143" i="80" s="1"/>
  <c r="K62" i="80"/>
  <c r="K61" i="80"/>
  <c r="K60" i="80"/>
  <c r="K59" i="80"/>
  <c r="K58" i="80"/>
  <c r="K57" i="80"/>
  <c r="I56" i="80"/>
  <c r="K56" i="80" s="1"/>
  <c r="K55" i="80"/>
  <c r="I55" i="80"/>
  <c r="I54" i="80"/>
  <c r="K54" i="80" s="1"/>
  <c r="I53" i="80"/>
  <c r="I64" i="80" s="1"/>
  <c r="I143" i="80" s="1"/>
  <c r="J49" i="80"/>
  <c r="J142" i="80" s="1"/>
  <c r="I49" i="80"/>
  <c r="I142" i="80" s="1"/>
  <c r="H49" i="80"/>
  <c r="H142" i="80" s="1"/>
  <c r="G49" i="80"/>
  <c r="G142" i="80" s="1"/>
  <c r="F49" i="80"/>
  <c r="F142" i="80" s="1"/>
  <c r="K47" i="80"/>
  <c r="K46" i="80"/>
  <c r="K45" i="80"/>
  <c r="K44" i="80"/>
  <c r="K43" i="80"/>
  <c r="K42" i="80"/>
  <c r="K41" i="80"/>
  <c r="K40" i="80"/>
  <c r="K49" i="80" s="1"/>
  <c r="K142" i="80" s="1"/>
  <c r="J36" i="80"/>
  <c r="J141" i="80" s="1"/>
  <c r="J152" i="80" s="1"/>
  <c r="H36" i="80"/>
  <c r="H141" i="80" s="1"/>
  <c r="H152" i="80" s="1"/>
  <c r="G36" i="80"/>
  <c r="G141" i="80" s="1"/>
  <c r="F36" i="80"/>
  <c r="F141" i="80" s="1"/>
  <c r="I34" i="80"/>
  <c r="K34" i="80" s="1"/>
  <c r="I33" i="80"/>
  <c r="K33" i="80" s="1"/>
  <c r="I32" i="80"/>
  <c r="K32" i="80" s="1"/>
  <c r="K31" i="80"/>
  <c r="I31" i="80"/>
  <c r="I30" i="80"/>
  <c r="K30" i="80" s="1"/>
  <c r="I29" i="80"/>
  <c r="K29" i="80" s="1"/>
  <c r="I28" i="80"/>
  <c r="K28" i="80" s="1"/>
  <c r="K27" i="80"/>
  <c r="I27" i="80"/>
  <c r="I26" i="80"/>
  <c r="K26" i="80" s="1"/>
  <c r="I25" i="80"/>
  <c r="K25" i="80" s="1"/>
  <c r="I24" i="80"/>
  <c r="K24" i="80" s="1"/>
  <c r="K23" i="80"/>
  <c r="I23" i="80"/>
  <c r="I22" i="80"/>
  <c r="K22" i="80" s="1"/>
  <c r="I21" i="80"/>
  <c r="K21" i="80" s="1"/>
  <c r="K18" i="80"/>
  <c r="K150" i="80" s="1"/>
  <c r="K98" i="80" l="1"/>
  <c r="K146" i="80" s="1"/>
  <c r="K36" i="80"/>
  <c r="K141" i="80" s="1"/>
  <c r="F152" i="80"/>
  <c r="G152" i="80"/>
  <c r="I36" i="80"/>
  <c r="I141" i="80" s="1"/>
  <c r="I152" i="80" s="1"/>
  <c r="K103" i="80"/>
  <c r="K108" i="80" s="1"/>
  <c r="K147" i="80" s="1"/>
  <c r="K53" i="80"/>
  <c r="K64" i="80" s="1"/>
  <c r="K143" i="80" s="1"/>
  <c r="K152" i="80" l="1"/>
  <c r="F155" i="80" l="1"/>
  <c r="F154" i="80"/>
  <c r="J150" i="108" l="1"/>
  <c r="I150" i="108"/>
  <c r="H150" i="108"/>
  <c r="H149" i="108"/>
  <c r="K148" i="108"/>
  <c r="F147" i="108"/>
  <c r="I145" i="108"/>
  <c r="G141" i="108"/>
  <c r="G152" i="108" s="1"/>
  <c r="J137" i="108"/>
  <c r="J149" i="108" s="1"/>
  <c r="I137" i="108"/>
  <c r="I149" i="108" s="1"/>
  <c r="H137" i="108"/>
  <c r="G137" i="108"/>
  <c r="G149" i="108" s="1"/>
  <c r="F137" i="108"/>
  <c r="F149" i="108" s="1"/>
  <c r="K135" i="108"/>
  <c r="K134" i="108"/>
  <c r="K133" i="108"/>
  <c r="K132" i="108"/>
  <c r="K131" i="108"/>
  <c r="K137" i="108" s="1"/>
  <c r="K149" i="108" s="1"/>
  <c r="F119" i="108"/>
  <c r="J108" i="108"/>
  <c r="I108" i="108"/>
  <c r="I147" i="108" s="1"/>
  <c r="H108" i="108"/>
  <c r="H147" i="108" s="1"/>
  <c r="G108" i="108"/>
  <c r="G147" i="108" s="1"/>
  <c r="F108" i="108"/>
  <c r="K106" i="108"/>
  <c r="K105" i="108"/>
  <c r="K104" i="108"/>
  <c r="K103" i="108"/>
  <c r="K102" i="108"/>
  <c r="K108" i="108" s="1"/>
  <c r="K147" i="108" s="1"/>
  <c r="J98" i="108"/>
  <c r="I98" i="108"/>
  <c r="I146" i="108" s="1"/>
  <c r="H98" i="108"/>
  <c r="H146" i="108" s="1"/>
  <c r="G98" i="108"/>
  <c r="G146" i="108" s="1"/>
  <c r="F98" i="108"/>
  <c r="F146" i="108" s="1"/>
  <c r="K96" i="108"/>
  <c r="K95" i="108"/>
  <c r="K94" i="108"/>
  <c r="K93" i="108"/>
  <c r="K92" i="108"/>
  <c r="K91" i="108"/>
  <c r="K90" i="108"/>
  <c r="K89" i="108"/>
  <c r="K88" i="108"/>
  <c r="K87" i="108"/>
  <c r="K86" i="108"/>
  <c r="K98" i="108" s="1"/>
  <c r="K146" i="108" s="1"/>
  <c r="J82" i="108"/>
  <c r="J145" i="108" s="1"/>
  <c r="I82" i="108"/>
  <c r="H82" i="108"/>
  <c r="H145" i="108" s="1"/>
  <c r="G82" i="108"/>
  <c r="G145" i="108" s="1"/>
  <c r="F82" i="108"/>
  <c r="F145" i="108" s="1"/>
  <c r="K80" i="108"/>
  <c r="K79" i="108"/>
  <c r="K78" i="108"/>
  <c r="K77" i="108"/>
  <c r="K82" i="108" s="1"/>
  <c r="K145" i="108" s="1"/>
  <c r="J74" i="108"/>
  <c r="J144" i="108" s="1"/>
  <c r="I74" i="108"/>
  <c r="I144" i="108" s="1"/>
  <c r="H74" i="108"/>
  <c r="H144" i="108" s="1"/>
  <c r="G74" i="108"/>
  <c r="G144" i="108" s="1"/>
  <c r="F74" i="108"/>
  <c r="F144" i="108" s="1"/>
  <c r="K72" i="108"/>
  <c r="K71" i="108"/>
  <c r="K70" i="108"/>
  <c r="K69" i="108"/>
  <c r="K68" i="108"/>
  <c r="K74" i="108" s="1"/>
  <c r="K144" i="108" s="1"/>
  <c r="J64" i="108"/>
  <c r="I64" i="108"/>
  <c r="I143" i="108" s="1"/>
  <c r="H64" i="108"/>
  <c r="H143" i="108" s="1"/>
  <c r="G64" i="108"/>
  <c r="G143" i="108" s="1"/>
  <c r="F64" i="108"/>
  <c r="F143" i="108" s="1"/>
  <c r="K62" i="108"/>
  <c r="K61" i="108"/>
  <c r="K60" i="108"/>
  <c r="K59" i="108"/>
  <c r="K58" i="108"/>
  <c r="K57" i="108"/>
  <c r="K56" i="108"/>
  <c r="K55" i="108"/>
  <c r="K54" i="108"/>
  <c r="K53" i="108"/>
  <c r="K64" i="108" s="1"/>
  <c r="K143" i="108" s="1"/>
  <c r="J49" i="108"/>
  <c r="J142" i="108" s="1"/>
  <c r="J152" i="108" s="1"/>
  <c r="I49" i="108"/>
  <c r="I142" i="108" s="1"/>
  <c r="H49" i="108"/>
  <c r="H142" i="108" s="1"/>
  <c r="G49" i="108"/>
  <c r="G142" i="108" s="1"/>
  <c r="F49" i="108"/>
  <c r="F142" i="108" s="1"/>
  <c r="K47" i="108"/>
  <c r="K46" i="108"/>
  <c r="K45" i="108"/>
  <c r="K44" i="108"/>
  <c r="K43" i="108"/>
  <c r="K42" i="108"/>
  <c r="K41" i="108"/>
  <c r="K40" i="108"/>
  <c r="K49" i="108" s="1"/>
  <c r="K142" i="108" s="1"/>
  <c r="J36" i="108"/>
  <c r="I36" i="108"/>
  <c r="I141" i="108" s="1"/>
  <c r="H36" i="108"/>
  <c r="H141" i="108" s="1"/>
  <c r="G36" i="108"/>
  <c r="F36" i="108"/>
  <c r="F141" i="108" s="1"/>
  <c r="K34" i="108"/>
  <c r="K33" i="108"/>
  <c r="K32" i="108"/>
  <c r="K31" i="108"/>
  <c r="K30" i="108"/>
  <c r="K29" i="108"/>
  <c r="K28" i="108"/>
  <c r="K27" i="108"/>
  <c r="K26" i="108"/>
  <c r="K25" i="108"/>
  <c r="K24" i="108"/>
  <c r="K23" i="108"/>
  <c r="K22" i="108"/>
  <c r="K21" i="108"/>
  <c r="K36" i="108" s="1"/>
  <c r="K141" i="108" s="1"/>
  <c r="K18" i="108"/>
  <c r="K150" i="108" s="1"/>
  <c r="H152" i="108" l="1"/>
  <c r="K152" i="108"/>
  <c r="I152" i="108"/>
  <c r="F152" i="108"/>
  <c r="F155" i="108" l="1"/>
  <c r="F154" i="108"/>
  <c r="J150" i="79" l="1"/>
  <c r="I150" i="79"/>
  <c r="H150" i="79"/>
  <c r="H149" i="79"/>
  <c r="K148" i="79"/>
  <c r="J147" i="79"/>
  <c r="I147" i="79"/>
  <c r="H147" i="79"/>
  <c r="G147" i="79"/>
  <c r="F147" i="79"/>
  <c r="J146" i="79"/>
  <c r="I146" i="79"/>
  <c r="H146" i="79"/>
  <c r="G146" i="79"/>
  <c r="F146" i="79"/>
  <c r="J145" i="79"/>
  <c r="I145" i="79"/>
  <c r="H145" i="79"/>
  <c r="G145" i="79"/>
  <c r="F145" i="79"/>
  <c r="J144" i="79"/>
  <c r="I144" i="79"/>
  <c r="H144" i="79"/>
  <c r="G144" i="79"/>
  <c r="F144" i="79"/>
  <c r="J143" i="79"/>
  <c r="I143" i="79"/>
  <c r="H143" i="79"/>
  <c r="G143" i="79"/>
  <c r="F143" i="79"/>
  <c r="J142" i="79"/>
  <c r="I142" i="79"/>
  <c r="H142" i="79"/>
  <c r="G142" i="79"/>
  <c r="F142" i="79"/>
  <c r="J141" i="79"/>
  <c r="J152" i="79" s="1"/>
  <c r="I141" i="79"/>
  <c r="I152" i="79" s="1"/>
  <c r="H141" i="79"/>
  <c r="H152" i="79" s="1"/>
  <c r="G141" i="79"/>
  <c r="G152" i="79" s="1"/>
  <c r="F141" i="79"/>
  <c r="J137" i="79"/>
  <c r="J149" i="79" s="1"/>
  <c r="I137" i="79"/>
  <c r="I149" i="79" s="1"/>
  <c r="H137" i="79"/>
  <c r="G137" i="79"/>
  <c r="G149" i="79" s="1"/>
  <c r="F137" i="79"/>
  <c r="F149" i="79" s="1"/>
  <c r="F152" i="79" s="1"/>
  <c r="K135" i="79"/>
  <c r="K134" i="79"/>
  <c r="K133" i="79"/>
  <c r="K132" i="79"/>
  <c r="K131" i="79"/>
  <c r="K137" i="79" s="1"/>
  <c r="K149" i="79" s="1"/>
  <c r="K106" i="79"/>
  <c r="K105" i="79"/>
  <c r="K104" i="79"/>
  <c r="K103" i="79"/>
  <c r="K102" i="79"/>
  <c r="K108" i="79" s="1"/>
  <c r="K147" i="79" s="1"/>
  <c r="K96" i="79"/>
  <c r="K95" i="79"/>
  <c r="K94" i="79"/>
  <c r="K93" i="79"/>
  <c r="K92" i="79"/>
  <c r="K91" i="79"/>
  <c r="K90" i="79"/>
  <c r="K89" i="79"/>
  <c r="K88" i="79"/>
  <c r="K98" i="79" s="1"/>
  <c r="K146" i="79" s="1"/>
  <c r="K87" i="79"/>
  <c r="K86" i="79"/>
  <c r="K80" i="79"/>
  <c r="K79" i="79"/>
  <c r="K78" i="79"/>
  <c r="K77" i="79"/>
  <c r="K82" i="79" s="1"/>
  <c r="K145" i="79" s="1"/>
  <c r="K74" i="79"/>
  <c r="K144" i="79" s="1"/>
  <c r="K72" i="79"/>
  <c r="K71" i="79"/>
  <c r="K70" i="79"/>
  <c r="K69" i="79"/>
  <c r="K68" i="79"/>
  <c r="K62" i="79"/>
  <c r="K61" i="79"/>
  <c r="K60" i="79"/>
  <c r="K59" i="79"/>
  <c r="K58" i="79"/>
  <c r="K57" i="79"/>
  <c r="K56" i="79"/>
  <c r="K55" i="79"/>
  <c r="K54" i="79"/>
  <c r="K53" i="79"/>
  <c r="K64" i="79" s="1"/>
  <c r="K143" i="79" s="1"/>
  <c r="K47" i="79"/>
  <c r="K46" i="79"/>
  <c r="K45" i="79"/>
  <c r="K44" i="79"/>
  <c r="K43" i="79"/>
  <c r="K42" i="79"/>
  <c r="K41" i="79"/>
  <c r="K40" i="79"/>
  <c r="K49" i="79" s="1"/>
  <c r="K142" i="79" s="1"/>
  <c r="K34" i="79"/>
  <c r="K33" i="79"/>
  <c r="K32" i="79"/>
  <c r="K31" i="79"/>
  <c r="K30" i="79"/>
  <c r="K29" i="79"/>
  <c r="K28" i="79"/>
  <c r="K27" i="79"/>
  <c r="K26" i="79"/>
  <c r="K25" i="79"/>
  <c r="K24" i="79"/>
  <c r="K23" i="79"/>
  <c r="K22" i="79"/>
  <c r="K21" i="79"/>
  <c r="K36" i="79" s="1"/>
  <c r="K141" i="79" s="1"/>
  <c r="K18" i="79"/>
  <c r="K150" i="79" s="1"/>
  <c r="K152" i="79" l="1"/>
  <c r="F155" i="79" l="1"/>
  <c r="F154" i="79"/>
  <c r="K150" i="78" l="1"/>
  <c r="J150" i="78"/>
  <c r="I150" i="78"/>
  <c r="H150" i="78"/>
  <c r="H149" i="78"/>
  <c r="K148" i="78"/>
  <c r="K146" i="78"/>
  <c r="H145" i="78"/>
  <c r="K143" i="78"/>
  <c r="I142" i="78"/>
  <c r="G141" i="78"/>
  <c r="K137" i="78"/>
  <c r="K149" i="78" s="1"/>
  <c r="J137" i="78"/>
  <c r="J149" i="78" s="1"/>
  <c r="I137" i="78"/>
  <c r="I149" i="78" s="1"/>
  <c r="H137" i="78"/>
  <c r="G137" i="78"/>
  <c r="G149" i="78" s="1"/>
  <c r="F137" i="78"/>
  <c r="F149" i="78" s="1"/>
  <c r="F119" i="78"/>
  <c r="F123" i="78" s="1"/>
  <c r="F127" i="78" s="1"/>
  <c r="K108" i="78"/>
  <c r="K147" i="78" s="1"/>
  <c r="J108" i="78"/>
  <c r="I108" i="78"/>
  <c r="I147" i="78" s="1"/>
  <c r="H108" i="78"/>
  <c r="H147" i="78" s="1"/>
  <c r="G108" i="78"/>
  <c r="F108" i="78"/>
  <c r="F147" i="78" s="1"/>
  <c r="K98" i="78"/>
  <c r="J98" i="78"/>
  <c r="J146" i="78" s="1"/>
  <c r="I98" i="78"/>
  <c r="I146" i="78" s="1"/>
  <c r="H98" i="78"/>
  <c r="H146" i="78" s="1"/>
  <c r="G98" i="78"/>
  <c r="G146" i="78" s="1"/>
  <c r="F98" i="78"/>
  <c r="F146" i="78" s="1"/>
  <c r="K82" i="78"/>
  <c r="K145" i="78" s="1"/>
  <c r="J82" i="78"/>
  <c r="I82" i="78"/>
  <c r="I145" i="78" s="1"/>
  <c r="H82" i="78"/>
  <c r="G82" i="78"/>
  <c r="G145" i="78" s="1"/>
  <c r="F82" i="78"/>
  <c r="F145" i="78" s="1"/>
  <c r="K74" i="78"/>
  <c r="K144" i="78" s="1"/>
  <c r="J74" i="78"/>
  <c r="I74" i="78"/>
  <c r="I144" i="78" s="1"/>
  <c r="H74" i="78"/>
  <c r="H144" i="78" s="1"/>
  <c r="G74" i="78"/>
  <c r="G144" i="78" s="1"/>
  <c r="F74" i="78"/>
  <c r="F144" i="78" s="1"/>
  <c r="K64" i="78"/>
  <c r="J64" i="78"/>
  <c r="J143" i="78" s="1"/>
  <c r="I64" i="78"/>
  <c r="I143" i="78" s="1"/>
  <c r="H64" i="78"/>
  <c r="H143" i="78" s="1"/>
  <c r="G64" i="78"/>
  <c r="G143" i="78" s="1"/>
  <c r="F64" i="78"/>
  <c r="F143" i="78" s="1"/>
  <c r="K49" i="78"/>
  <c r="K142" i="78" s="1"/>
  <c r="J49" i="78"/>
  <c r="J142" i="78" s="1"/>
  <c r="I49" i="78"/>
  <c r="H49" i="78"/>
  <c r="H142" i="78" s="1"/>
  <c r="G49" i="78"/>
  <c r="G142" i="78" s="1"/>
  <c r="F49" i="78"/>
  <c r="F142" i="78" s="1"/>
  <c r="K36" i="78"/>
  <c r="K141" i="78" s="1"/>
  <c r="K152" i="78" s="1"/>
  <c r="J36" i="78"/>
  <c r="J141" i="78" s="1"/>
  <c r="J152" i="78" s="1"/>
  <c r="I36" i="78"/>
  <c r="I141" i="78" s="1"/>
  <c r="H36" i="78"/>
  <c r="H141" i="78" s="1"/>
  <c r="G36" i="78"/>
  <c r="F36" i="78"/>
  <c r="F141" i="78" s="1"/>
  <c r="F152" i="78" l="1"/>
  <c r="H152" i="78"/>
  <c r="F155" i="78"/>
  <c r="F154" i="78"/>
  <c r="G152" i="78"/>
  <c r="I152" i="78"/>
  <c r="J150" i="73" l="1"/>
  <c r="I150" i="73"/>
  <c r="H150" i="73"/>
  <c r="H149" i="73"/>
  <c r="K148" i="73"/>
  <c r="G147" i="73"/>
  <c r="J137" i="73"/>
  <c r="J149" i="73" s="1"/>
  <c r="I137" i="73"/>
  <c r="I149" i="73" s="1"/>
  <c r="H137" i="73"/>
  <c r="G137" i="73"/>
  <c r="G149" i="73" s="1"/>
  <c r="F137" i="73"/>
  <c r="F149" i="73" s="1"/>
  <c r="K135" i="73"/>
  <c r="K134" i="73"/>
  <c r="K133" i="73"/>
  <c r="K132" i="73"/>
  <c r="K131" i="73"/>
  <c r="K137" i="73" s="1"/>
  <c r="K149" i="73" s="1"/>
  <c r="F119" i="73"/>
  <c r="J108" i="73"/>
  <c r="J147" i="73" s="1"/>
  <c r="H108" i="73"/>
  <c r="H147" i="73" s="1"/>
  <c r="G108" i="73"/>
  <c r="F108" i="73"/>
  <c r="F147" i="73" s="1"/>
  <c r="K106" i="73"/>
  <c r="I106" i="73"/>
  <c r="I105" i="73"/>
  <c r="K105" i="73" s="1"/>
  <c r="I104" i="73"/>
  <c r="K104" i="73" s="1"/>
  <c r="I103" i="73"/>
  <c r="K103" i="73" s="1"/>
  <c r="K102" i="73"/>
  <c r="I102" i="73"/>
  <c r="I108" i="73" s="1"/>
  <c r="I147" i="73" s="1"/>
  <c r="J98" i="73"/>
  <c r="J146" i="73" s="1"/>
  <c r="H98" i="73"/>
  <c r="H146" i="73" s="1"/>
  <c r="G98" i="73"/>
  <c r="G146" i="73" s="1"/>
  <c r="F98" i="73"/>
  <c r="F146" i="73" s="1"/>
  <c r="K96" i="73"/>
  <c r="I96" i="73"/>
  <c r="I95" i="73"/>
  <c r="K95" i="73" s="1"/>
  <c r="I94" i="73"/>
  <c r="K94" i="73" s="1"/>
  <c r="I93" i="73"/>
  <c r="K93" i="73" s="1"/>
  <c r="K92" i="73"/>
  <c r="I92" i="73"/>
  <c r="I91" i="73"/>
  <c r="K91" i="73" s="1"/>
  <c r="I90" i="73"/>
  <c r="K90" i="73" s="1"/>
  <c r="I89" i="73"/>
  <c r="K89" i="73" s="1"/>
  <c r="K88" i="73"/>
  <c r="I88" i="73"/>
  <c r="I87" i="73"/>
  <c r="K87" i="73" s="1"/>
  <c r="I86" i="73"/>
  <c r="I98" i="73" s="1"/>
  <c r="I146" i="73" s="1"/>
  <c r="J82" i="73"/>
  <c r="J145" i="73" s="1"/>
  <c r="I82" i="73"/>
  <c r="I145" i="73" s="1"/>
  <c r="H82" i="73"/>
  <c r="H145" i="73" s="1"/>
  <c r="G82" i="73"/>
  <c r="G145" i="73" s="1"/>
  <c r="F82" i="73"/>
  <c r="F145" i="73" s="1"/>
  <c r="K80" i="73"/>
  <c r="K79" i="73"/>
  <c r="K78" i="73"/>
  <c r="K77" i="73"/>
  <c r="K82" i="73" s="1"/>
  <c r="K145" i="73" s="1"/>
  <c r="J74" i="73"/>
  <c r="J144" i="73" s="1"/>
  <c r="H74" i="73"/>
  <c r="H144" i="73" s="1"/>
  <c r="G74" i="73"/>
  <c r="G144" i="73" s="1"/>
  <c r="F74" i="73"/>
  <c r="F144" i="73" s="1"/>
  <c r="K72" i="73"/>
  <c r="K71" i="73"/>
  <c r="K70" i="73"/>
  <c r="K69" i="73"/>
  <c r="I68" i="73"/>
  <c r="I74" i="73" s="1"/>
  <c r="I144" i="73" s="1"/>
  <c r="J64" i="73"/>
  <c r="J143" i="73" s="1"/>
  <c r="I64" i="73"/>
  <c r="I143" i="73" s="1"/>
  <c r="H64" i="73"/>
  <c r="H143" i="73" s="1"/>
  <c r="G64" i="73"/>
  <c r="G143" i="73" s="1"/>
  <c r="F64" i="73"/>
  <c r="F143" i="73" s="1"/>
  <c r="K62" i="73"/>
  <c r="K61" i="73"/>
  <c r="K60" i="73"/>
  <c r="K59" i="73"/>
  <c r="K58" i="73"/>
  <c r="K57" i="73"/>
  <c r="K56" i="73"/>
  <c r="K55" i="73"/>
  <c r="K54" i="73"/>
  <c r="K53" i="73"/>
  <c r="K64" i="73" s="1"/>
  <c r="K143" i="73" s="1"/>
  <c r="J49" i="73"/>
  <c r="J142" i="73" s="1"/>
  <c r="H49" i="73"/>
  <c r="H142" i="73" s="1"/>
  <c r="G49" i="73"/>
  <c r="G142" i="73" s="1"/>
  <c r="F49" i="73"/>
  <c r="F142" i="73" s="1"/>
  <c r="K47" i="73"/>
  <c r="K46" i="73"/>
  <c r="K45" i="73"/>
  <c r="K44" i="73"/>
  <c r="I43" i="73"/>
  <c r="K43" i="73" s="1"/>
  <c r="K42" i="73"/>
  <c r="I42" i="73"/>
  <c r="I41" i="73"/>
  <c r="K41" i="73" s="1"/>
  <c r="I40" i="73"/>
  <c r="K40" i="73" s="1"/>
  <c r="J36" i="73"/>
  <c r="J141" i="73" s="1"/>
  <c r="I36" i="73"/>
  <c r="I141" i="73" s="1"/>
  <c r="H36" i="73"/>
  <c r="H141" i="73" s="1"/>
  <c r="H152" i="73" s="1"/>
  <c r="G36" i="73"/>
  <c r="G141" i="73" s="1"/>
  <c r="G152" i="73" s="1"/>
  <c r="F36" i="73"/>
  <c r="F141" i="73" s="1"/>
  <c r="I34" i="73"/>
  <c r="K34" i="73" s="1"/>
  <c r="I33" i="73"/>
  <c r="K33" i="73" s="1"/>
  <c r="K32" i="73"/>
  <c r="I32" i="73"/>
  <c r="I31" i="73"/>
  <c r="K31" i="73" s="1"/>
  <c r="I30" i="73"/>
  <c r="K30" i="73" s="1"/>
  <c r="I29" i="73"/>
  <c r="K29" i="73" s="1"/>
  <c r="K28" i="73"/>
  <c r="I28" i="73"/>
  <c r="I27" i="73"/>
  <c r="K27" i="73" s="1"/>
  <c r="I26" i="73"/>
  <c r="K26" i="73" s="1"/>
  <c r="I25" i="73"/>
  <c r="K25" i="73" s="1"/>
  <c r="K24" i="73"/>
  <c r="I24" i="73"/>
  <c r="I23" i="73"/>
  <c r="K23" i="73" s="1"/>
  <c r="I22" i="73"/>
  <c r="K22" i="73" s="1"/>
  <c r="I21" i="73"/>
  <c r="K21" i="73" s="1"/>
  <c r="K18" i="73"/>
  <c r="K150" i="73" s="1"/>
  <c r="J152" i="73" l="1"/>
  <c r="K49" i="73"/>
  <c r="K142" i="73" s="1"/>
  <c r="K108" i="73"/>
  <c r="K147" i="73" s="1"/>
  <c r="K36" i="73"/>
  <c r="K141" i="73" s="1"/>
  <c r="F152" i="73"/>
  <c r="I49" i="73"/>
  <c r="I142" i="73" s="1"/>
  <c r="I152" i="73" s="1"/>
  <c r="K86" i="73"/>
  <c r="K98" i="73" s="1"/>
  <c r="K146" i="73" s="1"/>
  <c r="K68" i="73"/>
  <c r="K74" i="73" s="1"/>
  <c r="K144" i="73" s="1"/>
  <c r="K152" i="73" l="1"/>
  <c r="F155" i="73" l="1"/>
  <c r="F154" i="73"/>
  <c r="J150" i="77" l="1"/>
  <c r="I150" i="77"/>
  <c r="H150" i="77"/>
  <c r="H149" i="77"/>
  <c r="K148" i="77"/>
  <c r="G143" i="77"/>
  <c r="J137" i="77"/>
  <c r="J149" i="77" s="1"/>
  <c r="I137" i="77"/>
  <c r="I149" i="77" s="1"/>
  <c r="H137" i="77"/>
  <c r="G137" i="77"/>
  <c r="G149" i="77" s="1"/>
  <c r="F137" i="77"/>
  <c r="F149" i="77" s="1"/>
  <c r="K135" i="77"/>
  <c r="K134" i="77"/>
  <c r="K133" i="77"/>
  <c r="K132" i="77"/>
  <c r="K131" i="77"/>
  <c r="K137" i="77" s="1"/>
  <c r="K149" i="77" s="1"/>
  <c r="F119" i="77"/>
  <c r="F123" i="77" s="1"/>
  <c r="F127" i="77" s="1"/>
  <c r="J108" i="77"/>
  <c r="J147" i="77" s="1"/>
  <c r="H108" i="77"/>
  <c r="H147" i="77" s="1"/>
  <c r="G108" i="77"/>
  <c r="G147" i="77" s="1"/>
  <c r="F108" i="77"/>
  <c r="F147" i="77" s="1"/>
  <c r="I106" i="77"/>
  <c r="K106" i="77" s="1"/>
  <c r="I105" i="77"/>
  <c r="K105" i="77" s="1"/>
  <c r="I104" i="77"/>
  <c r="K104" i="77" s="1"/>
  <c r="K103" i="77"/>
  <c r="I103" i="77"/>
  <c r="I102" i="77"/>
  <c r="K102" i="77" s="1"/>
  <c r="K108" i="77" s="1"/>
  <c r="K147" i="77" s="1"/>
  <c r="J98" i="77"/>
  <c r="J146" i="77" s="1"/>
  <c r="H98" i="77"/>
  <c r="H146" i="77" s="1"/>
  <c r="G98" i="77"/>
  <c r="G146" i="77" s="1"/>
  <c r="F98" i="77"/>
  <c r="F146" i="77" s="1"/>
  <c r="I96" i="77"/>
  <c r="K96" i="77" s="1"/>
  <c r="I95" i="77"/>
  <c r="K95" i="77" s="1"/>
  <c r="I94" i="77"/>
  <c r="K94" i="77" s="1"/>
  <c r="K93" i="77"/>
  <c r="I93" i="77"/>
  <c r="I92" i="77"/>
  <c r="K92" i="77" s="1"/>
  <c r="I91" i="77"/>
  <c r="K91" i="77" s="1"/>
  <c r="I90" i="77"/>
  <c r="K90" i="77" s="1"/>
  <c r="K89" i="77"/>
  <c r="I89" i="77"/>
  <c r="I88" i="77"/>
  <c r="K88" i="77" s="1"/>
  <c r="I87" i="77"/>
  <c r="K87" i="77" s="1"/>
  <c r="I86" i="77"/>
  <c r="I98" i="77" s="1"/>
  <c r="I146" i="77" s="1"/>
  <c r="J82" i="77"/>
  <c r="J145" i="77" s="1"/>
  <c r="I82" i="77"/>
  <c r="I145" i="77" s="1"/>
  <c r="H82" i="77"/>
  <c r="H145" i="77" s="1"/>
  <c r="G82" i="77"/>
  <c r="G145" i="77" s="1"/>
  <c r="F82" i="77"/>
  <c r="F145" i="77" s="1"/>
  <c r="K80" i="77"/>
  <c r="K79" i="77"/>
  <c r="K78" i="77"/>
  <c r="K82" i="77" s="1"/>
  <c r="K145" i="77" s="1"/>
  <c r="K77" i="77"/>
  <c r="J74" i="77"/>
  <c r="J144" i="77" s="1"/>
  <c r="H74" i="77"/>
  <c r="H144" i="77" s="1"/>
  <c r="G74" i="77"/>
  <c r="G144" i="77" s="1"/>
  <c r="F74" i="77"/>
  <c r="F144" i="77" s="1"/>
  <c r="K72" i="77"/>
  <c r="K71" i="77"/>
  <c r="K70" i="77"/>
  <c r="K69" i="77"/>
  <c r="I68" i="77"/>
  <c r="I74" i="77" s="1"/>
  <c r="I144" i="77" s="1"/>
  <c r="J64" i="77"/>
  <c r="J143" i="77" s="1"/>
  <c r="I64" i="77"/>
  <c r="I143" i="77" s="1"/>
  <c r="H64" i="77"/>
  <c r="H143" i="77" s="1"/>
  <c r="G64" i="77"/>
  <c r="F64" i="77"/>
  <c r="F143" i="77" s="1"/>
  <c r="K62" i="77"/>
  <c r="K61" i="77"/>
  <c r="I60" i="77"/>
  <c r="K60" i="77" s="1"/>
  <c r="K59" i="77"/>
  <c r="I59" i="77"/>
  <c r="I58" i="77"/>
  <c r="K58" i="77" s="1"/>
  <c r="I57" i="77"/>
  <c r="K57" i="77" s="1"/>
  <c r="I56" i="77"/>
  <c r="K56" i="77" s="1"/>
  <c r="K55" i="77"/>
  <c r="I55" i="77"/>
  <c r="I54" i="77"/>
  <c r="K54" i="77" s="1"/>
  <c r="I53" i="77"/>
  <c r="K53" i="77" s="1"/>
  <c r="J49" i="77"/>
  <c r="J142" i="77" s="1"/>
  <c r="I49" i="77"/>
  <c r="I142" i="77" s="1"/>
  <c r="H49" i="77"/>
  <c r="H142" i="77" s="1"/>
  <c r="G49" i="77"/>
  <c r="G142" i="77" s="1"/>
  <c r="F49" i="77"/>
  <c r="F142" i="77" s="1"/>
  <c r="K47" i="77"/>
  <c r="K46" i="77"/>
  <c r="K45" i="77"/>
  <c r="K44" i="77"/>
  <c r="K43" i="77"/>
  <c r="K42" i="77"/>
  <c r="K41" i="77"/>
  <c r="K40" i="77"/>
  <c r="K49" i="77" s="1"/>
  <c r="K142" i="77" s="1"/>
  <c r="J36" i="77"/>
  <c r="J141" i="77" s="1"/>
  <c r="H36" i="77"/>
  <c r="H141" i="77" s="1"/>
  <c r="G36" i="77"/>
  <c r="G141" i="77" s="1"/>
  <c r="F36" i="77"/>
  <c r="F141" i="77" s="1"/>
  <c r="I34" i="77"/>
  <c r="K34" i="77" s="1"/>
  <c r="I33" i="77"/>
  <c r="K33" i="77" s="1"/>
  <c r="I32" i="77"/>
  <c r="K32" i="77" s="1"/>
  <c r="K31" i="77"/>
  <c r="I31" i="77"/>
  <c r="I30" i="77"/>
  <c r="K30" i="77" s="1"/>
  <c r="I29" i="77"/>
  <c r="K29" i="77" s="1"/>
  <c r="I28" i="77"/>
  <c r="K28" i="77" s="1"/>
  <c r="K27" i="77"/>
  <c r="I27" i="77"/>
  <c r="I26" i="77"/>
  <c r="K26" i="77" s="1"/>
  <c r="I25" i="77"/>
  <c r="K25" i="77" s="1"/>
  <c r="I24" i="77"/>
  <c r="K24" i="77" s="1"/>
  <c r="K23" i="77"/>
  <c r="I23" i="77"/>
  <c r="I22" i="77"/>
  <c r="K22" i="77" s="1"/>
  <c r="I21" i="77"/>
  <c r="K21" i="77" s="1"/>
  <c r="K18" i="77"/>
  <c r="K150" i="77" s="1"/>
  <c r="F152" i="77" l="1"/>
  <c r="G152" i="77"/>
  <c r="H152" i="77"/>
  <c r="J152" i="77"/>
  <c r="K64" i="77"/>
  <c r="K143" i="77" s="1"/>
  <c r="K36" i="77"/>
  <c r="K141" i="77" s="1"/>
  <c r="I36" i="77"/>
  <c r="I141" i="77" s="1"/>
  <c r="I152" i="77" s="1"/>
  <c r="K86" i="77"/>
  <c r="K98" i="77" s="1"/>
  <c r="K146" i="77" s="1"/>
  <c r="I108" i="77"/>
  <c r="I147" i="77" s="1"/>
  <c r="K68" i="77"/>
  <c r="K74" i="77" s="1"/>
  <c r="K144" i="77" s="1"/>
  <c r="K152" i="77" l="1"/>
  <c r="F155" i="77" l="1"/>
  <c r="F154" i="77"/>
  <c r="K150" i="76" l="1"/>
  <c r="J150" i="76"/>
  <c r="I150" i="76"/>
  <c r="H150" i="76"/>
  <c r="H149" i="76"/>
  <c r="K148" i="76"/>
  <c r="G147" i="76"/>
  <c r="I144" i="76"/>
  <c r="G143" i="76"/>
  <c r="J137" i="76"/>
  <c r="J149" i="76" s="1"/>
  <c r="I137" i="76"/>
  <c r="I149" i="76" s="1"/>
  <c r="H137" i="76"/>
  <c r="G137" i="76"/>
  <c r="G149" i="76" s="1"/>
  <c r="F137" i="76"/>
  <c r="F149" i="76" s="1"/>
  <c r="K135" i="76"/>
  <c r="K134" i="76"/>
  <c r="K133" i="76"/>
  <c r="K132" i="76"/>
  <c r="K131" i="76"/>
  <c r="K137" i="76" s="1"/>
  <c r="K149" i="76" s="1"/>
  <c r="F119" i="76"/>
  <c r="J108" i="76"/>
  <c r="J147" i="76" s="1"/>
  <c r="H108" i="76"/>
  <c r="H147" i="76" s="1"/>
  <c r="G108" i="76"/>
  <c r="F108" i="76"/>
  <c r="F147" i="76" s="1"/>
  <c r="K106" i="76"/>
  <c r="I106" i="76"/>
  <c r="I105" i="76"/>
  <c r="K105" i="76" s="1"/>
  <c r="K104" i="76"/>
  <c r="K103" i="76"/>
  <c r="I103" i="76"/>
  <c r="I108" i="76" s="1"/>
  <c r="I147" i="76" s="1"/>
  <c r="K102" i="76"/>
  <c r="J98" i="76"/>
  <c r="J146" i="76" s="1"/>
  <c r="H98" i="76"/>
  <c r="H146" i="76" s="1"/>
  <c r="G98" i="76"/>
  <c r="G146" i="76" s="1"/>
  <c r="F98" i="76"/>
  <c r="F146" i="76" s="1"/>
  <c r="I96" i="76"/>
  <c r="K96" i="76" s="1"/>
  <c r="K95" i="76"/>
  <c r="I95" i="76"/>
  <c r="I94" i="76"/>
  <c r="K94" i="76" s="1"/>
  <c r="K93" i="76"/>
  <c r="K92" i="76"/>
  <c r="I92" i="76"/>
  <c r="I91" i="76"/>
  <c r="K91" i="76" s="1"/>
  <c r="K90" i="76"/>
  <c r="I90" i="76"/>
  <c r="I89" i="76"/>
  <c r="K89" i="76" s="1"/>
  <c r="K88" i="76"/>
  <c r="I88" i="76"/>
  <c r="K87" i="76"/>
  <c r="K86" i="76"/>
  <c r="I86" i="76"/>
  <c r="I98" i="76" s="1"/>
  <c r="I146" i="76" s="1"/>
  <c r="J82" i="76"/>
  <c r="J145" i="76" s="1"/>
  <c r="I82" i="76"/>
  <c r="I145" i="76" s="1"/>
  <c r="H82" i="76"/>
  <c r="H145" i="76" s="1"/>
  <c r="G82" i="76"/>
  <c r="G145" i="76" s="1"/>
  <c r="F82" i="76"/>
  <c r="F145" i="76" s="1"/>
  <c r="K80" i="76"/>
  <c r="K79" i="76"/>
  <c r="K78" i="76"/>
  <c r="K77" i="76"/>
  <c r="K82" i="76" s="1"/>
  <c r="K145" i="76" s="1"/>
  <c r="J74" i="76"/>
  <c r="J144" i="76" s="1"/>
  <c r="I74" i="76"/>
  <c r="H74" i="76"/>
  <c r="H144" i="76" s="1"/>
  <c r="G74" i="76"/>
  <c r="G144" i="76" s="1"/>
  <c r="F74" i="76"/>
  <c r="F144" i="76" s="1"/>
  <c r="K72" i="76"/>
  <c r="K71" i="76"/>
  <c r="K70" i="76"/>
  <c r="K69" i="76"/>
  <c r="K74" i="76" s="1"/>
  <c r="K144" i="76" s="1"/>
  <c r="K68" i="76"/>
  <c r="J64" i="76"/>
  <c r="J143" i="76" s="1"/>
  <c r="I64" i="76"/>
  <c r="I143" i="76" s="1"/>
  <c r="H64" i="76"/>
  <c r="H143" i="76" s="1"/>
  <c r="G64" i="76"/>
  <c r="F64" i="76"/>
  <c r="F143" i="76" s="1"/>
  <c r="K62" i="76"/>
  <c r="K61" i="76"/>
  <c r="K60" i="76"/>
  <c r="K59" i="76"/>
  <c r="K58" i="76"/>
  <c r="K57" i="76"/>
  <c r="K56" i="76"/>
  <c r="K55" i="76"/>
  <c r="K54" i="76"/>
  <c r="K64" i="76" s="1"/>
  <c r="K143" i="76" s="1"/>
  <c r="K53" i="76"/>
  <c r="J49" i="76"/>
  <c r="J142" i="76" s="1"/>
  <c r="I49" i="76"/>
  <c r="I142" i="76" s="1"/>
  <c r="H49" i="76"/>
  <c r="H142" i="76" s="1"/>
  <c r="G49" i="76"/>
  <c r="G142" i="76" s="1"/>
  <c r="F49" i="76"/>
  <c r="F142" i="76" s="1"/>
  <c r="K47" i="76"/>
  <c r="K46" i="76"/>
  <c r="K45" i="76"/>
  <c r="K44" i="76"/>
  <c r="K43" i="76"/>
  <c r="K42" i="76"/>
  <c r="K41" i="76"/>
  <c r="K40" i="76"/>
  <c r="K49" i="76" s="1"/>
  <c r="K142" i="76" s="1"/>
  <c r="J36" i="76"/>
  <c r="J141" i="76" s="1"/>
  <c r="J152" i="76" s="1"/>
  <c r="H36" i="76"/>
  <c r="H141" i="76" s="1"/>
  <c r="G36" i="76"/>
  <c r="G141" i="76" s="1"/>
  <c r="F36" i="76"/>
  <c r="F141" i="76" s="1"/>
  <c r="I34" i="76"/>
  <c r="K34" i="76" s="1"/>
  <c r="K33" i="76"/>
  <c r="K32" i="76"/>
  <c r="K31" i="76"/>
  <c r="K30" i="76"/>
  <c r="I30" i="76"/>
  <c r="K29" i="76"/>
  <c r="I28" i="76"/>
  <c r="K28" i="76" s="1"/>
  <c r="K27" i="76"/>
  <c r="I27" i="76"/>
  <c r="I26" i="76"/>
  <c r="K26" i="76" s="1"/>
  <c r="I25" i="76"/>
  <c r="K25" i="76" s="1"/>
  <c r="K24" i="76"/>
  <c r="I23" i="76"/>
  <c r="K23" i="76" s="1"/>
  <c r="K22" i="76"/>
  <c r="K21" i="76"/>
  <c r="F152" i="76" l="1"/>
  <c r="K108" i="76"/>
  <c r="K147" i="76" s="1"/>
  <c r="K36" i="76"/>
  <c r="K141" i="76" s="1"/>
  <c r="G152" i="76"/>
  <c r="H152" i="76"/>
  <c r="K98" i="76"/>
  <c r="K146" i="76" s="1"/>
  <c r="I36" i="76"/>
  <c r="I141" i="76" s="1"/>
  <c r="I152" i="76" s="1"/>
  <c r="K152" i="76" l="1"/>
  <c r="F155" i="76" l="1"/>
  <c r="F154" i="76"/>
  <c r="J150" i="110"/>
  <c r="I150" i="110"/>
  <c r="H150" i="110"/>
  <c r="H149" i="110"/>
  <c r="K148" i="110"/>
  <c r="G147" i="110"/>
  <c r="I144" i="110"/>
  <c r="G143" i="110"/>
  <c r="J137" i="110"/>
  <c r="J149" i="110" s="1"/>
  <c r="I137" i="110"/>
  <c r="I149" i="110" s="1"/>
  <c r="H137" i="110"/>
  <c r="G137" i="110"/>
  <c r="G149" i="110" s="1"/>
  <c r="F137" i="110"/>
  <c r="F149" i="110" s="1"/>
  <c r="K135" i="110"/>
  <c r="K134" i="110"/>
  <c r="K133" i="110"/>
  <c r="K132" i="110"/>
  <c r="K131" i="110"/>
  <c r="K137" i="110" s="1"/>
  <c r="K149" i="110" s="1"/>
  <c r="F119" i="110"/>
  <c r="J108" i="110"/>
  <c r="J147" i="110" s="1"/>
  <c r="H108" i="110"/>
  <c r="H147" i="110" s="1"/>
  <c r="G108" i="110"/>
  <c r="F108" i="110"/>
  <c r="F147" i="110" s="1"/>
  <c r="K106" i="110"/>
  <c r="I106" i="110"/>
  <c r="I105" i="110"/>
  <c r="K105" i="110" s="1"/>
  <c r="I104" i="110"/>
  <c r="K104" i="110" s="1"/>
  <c r="I103" i="110"/>
  <c r="K103" i="110" s="1"/>
  <c r="K102" i="110"/>
  <c r="K108" i="110" s="1"/>
  <c r="K147" i="110" s="1"/>
  <c r="I102" i="110"/>
  <c r="I108" i="110" s="1"/>
  <c r="I147" i="110" s="1"/>
  <c r="J98" i="110"/>
  <c r="J146" i="110" s="1"/>
  <c r="H98" i="110"/>
  <c r="H146" i="110" s="1"/>
  <c r="G98" i="110"/>
  <c r="G146" i="110" s="1"/>
  <c r="F98" i="110"/>
  <c r="F146" i="110" s="1"/>
  <c r="K96" i="110"/>
  <c r="I96" i="110"/>
  <c r="I95" i="110"/>
  <c r="K95" i="110" s="1"/>
  <c r="I94" i="110"/>
  <c r="K94" i="110" s="1"/>
  <c r="I93" i="110"/>
  <c r="K93" i="110" s="1"/>
  <c r="K92" i="110"/>
  <c r="I92" i="110"/>
  <c r="I91" i="110"/>
  <c r="K91" i="110" s="1"/>
  <c r="I90" i="110"/>
  <c r="K90" i="110" s="1"/>
  <c r="I89" i="110"/>
  <c r="K89" i="110" s="1"/>
  <c r="K88" i="110"/>
  <c r="I88" i="110"/>
  <c r="I87" i="110"/>
  <c r="K87" i="110" s="1"/>
  <c r="I86" i="110"/>
  <c r="I98" i="110" s="1"/>
  <c r="I146" i="110" s="1"/>
  <c r="J82" i="110"/>
  <c r="J145" i="110" s="1"/>
  <c r="I82" i="110"/>
  <c r="I145" i="110" s="1"/>
  <c r="H82" i="110"/>
  <c r="H145" i="110" s="1"/>
  <c r="G82" i="110"/>
  <c r="G145" i="110" s="1"/>
  <c r="F82" i="110"/>
  <c r="F145" i="110" s="1"/>
  <c r="K80" i="110"/>
  <c r="K79" i="110"/>
  <c r="K77" i="110"/>
  <c r="K82" i="110" s="1"/>
  <c r="K145" i="110" s="1"/>
  <c r="J74" i="110"/>
  <c r="J144" i="110" s="1"/>
  <c r="I74" i="110"/>
  <c r="H74" i="110"/>
  <c r="H144" i="110" s="1"/>
  <c r="G74" i="110"/>
  <c r="G144" i="110" s="1"/>
  <c r="F74" i="110"/>
  <c r="F144" i="110" s="1"/>
  <c r="K72" i="110"/>
  <c r="K71" i="110"/>
  <c r="K70" i="110"/>
  <c r="K69" i="110"/>
  <c r="K74" i="110" s="1"/>
  <c r="K144" i="110" s="1"/>
  <c r="K68" i="110"/>
  <c r="J64" i="110"/>
  <c r="J143" i="110" s="1"/>
  <c r="I64" i="110"/>
  <c r="I143" i="110" s="1"/>
  <c r="H64" i="110"/>
  <c r="H143" i="110" s="1"/>
  <c r="G64" i="110"/>
  <c r="F64" i="110"/>
  <c r="F143" i="110" s="1"/>
  <c r="K62" i="110"/>
  <c r="K61" i="110"/>
  <c r="K60" i="110"/>
  <c r="K59" i="110"/>
  <c r="K58" i="110"/>
  <c r="K57" i="110"/>
  <c r="K56" i="110"/>
  <c r="K55" i="110"/>
  <c r="K54" i="110"/>
  <c r="K53" i="110"/>
  <c r="K64" i="110" s="1"/>
  <c r="K143" i="110" s="1"/>
  <c r="J49" i="110"/>
  <c r="J142" i="110" s="1"/>
  <c r="I49" i="110"/>
  <c r="I142" i="110" s="1"/>
  <c r="H49" i="110"/>
  <c r="H142" i="110" s="1"/>
  <c r="G49" i="110"/>
  <c r="G142" i="110" s="1"/>
  <c r="F49" i="110"/>
  <c r="F142" i="110" s="1"/>
  <c r="K47" i="110"/>
  <c r="K46" i="110"/>
  <c r="K45" i="110"/>
  <c r="K44" i="110"/>
  <c r="K43" i="110"/>
  <c r="K42" i="110"/>
  <c r="K41" i="110"/>
  <c r="K40" i="110"/>
  <c r="K49" i="110" s="1"/>
  <c r="K142" i="110" s="1"/>
  <c r="J36" i="110"/>
  <c r="J141" i="110" s="1"/>
  <c r="H36" i="110"/>
  <c r="H141" i="110" s="1"/>
  <c r="G36" i="110"/>
  <c r="G141" i="110" s="1"/>
  <c r="F36" i="110"/>
  <c r="F141" i="110" s="1"/>
  <c r="I34" i="110"/>
  <c r="K34" i="110" s="1"/>
  <c r="K33" i="110"/>
  <c r="I33" i="110"/>
  <c r="I32" i="110"/>
  <c r="K32" i="110" s="1"/>
  <c r="I31" i="110"/>
  <c r="K31" i="110" s="1"/>
  <c r="I30" i="110"/>
  <c r="K30" i="110" s="1"/>
  <c r="K29" i="110"/>
  <c r="I29" i="110"/>
  <c r="I28" i="110"/>
  <c r="K28" i="110" s="1"/>
  <c r="I27" i="110"/>
  <c r="K27" i="110" s="1"/>
  <c r="I26" i="110"/>
  <c r="K26" i="110" s="1"/>
  <c r="K25" i="110"/>
  <c r="I25" i="110"/>
  <c r="I24" i="110"/>
  <c r="K24" i="110" s="1"/>
  <c r="I23" i="110"/>
  <c r="K23" i="110" s="1"/>
  <c r="I22" i="110"/>
  <c r="K22" i="110" s="1"/>
  <c r="K21" i="110"/>
  <c r="I21" i="110"/>
  <c r="I36" i="110" s="1"/>
  <c r="I141" i="110" s="1"/>
  <c r="K18" i="110"/>
  <c r="K150" i="110" s="1"/>
  <c r="J152" i="110" l="1"/>
  <c r="H152" i="110"/>
  <c r="I152" i="110"/>
  <c r="K36" i="110"/>
  <c r="K141" i="110" s="1"/>
  <c r="F152" i="110"/>
  <c r="G152" i="110"/>
  <c r="K86" i="110"/>
  <c r="K98" i="110" s="1"/>
  <c r="K146" i="110" s="1"/>
  <c r="K152" i="110" l="1"/>
  <c r="F155" i="110" l="1"/>
  <c r="F154" i="110"/>
  <c r="J150" i="68" l="1"/>
  <c r="I150" i="68"/>
  <c r="H150" i="68"/>
  <c r="J149" i="68"/>
  <c r="H149" i="68"/>
  <c r="K148" i="68"/>
  <c r="F146" i="68"/>
  <c r="J144" i="68"/>
  <c r="I144" i="68"/>
  <c r="G143" i="68"/>
  <c r="J137" i="68"/>
  <c r="I137" i="68"/>
  <c r="I149" i="68" s="1"/>
  <c r="H137" i="68"/>
  <c r="G137" i="68"/>
  <c r="G149" i="68" s="1"/>
  <c r="F137" i="68"/>
  <c r="F149" i="68" s="1"/>
  <c r="K135" i="68"/>
  <c r="K134" i="68"/>
  <c r="K133" i="68"/>
  <c r="K132" i="68"/>
  <c r="K131" i="68"/>
  <c r="K137" i="68" s="1"/>
  <c r="K149" i="68" s="1"/>
  <c r="F119" i="68"/>
  <c r="F123" i="68" s="1"/>
  <c r="F127" i="68" s="1"/>
  <c r="J108" i="68"/>
  <c r="J147" i="68" s="1"/>
  <c r="H108" i="68"/>
  <c r="H147" i="68" s="1"/>
  <c r="G108" i="68"/>
  <c r="G147" i="68" s="1"/>
  <c r="F108" i="68"/>
  <c r="F147" i="68" s="1"/>
  <c r="I106" i="68"/>
  <c r="K106" i="68" s="1"/>
  <c r="K105" i="68"/>
  <c r="I105" i="68"/>
  <c r="I108" i="68" s="1"/>
  <c r="I147" i="68" s="1"/>
  <c r="K104" i="68"/>
  <c r="I104" i="68"/>
  <c r="K103" i="68"/>
  <c r="I103" i="68"/>
  <c r="I102" i="68"/>
  <c r="K102" i="68" s="1"/>
  <c r="J98" i="68"/>
  <c r="J146" i="68" s="1"/>
  <c r="H98" i="68"/>
  <c r="H146" i="68" s="1"/>
  <c r="G98" i="68"/>
  <c r="G146" i="68" s="1"/>
  <c r="F98" i="68"/>
  <c r="I96" i="68"/>
  <c r="K96" i="68" s="1"/>
  <c r="K95" i="68"/>
  <c r="I95" i="68"/>
  <c r="K94" i="68"/>
  <c r="I94" i="68"/>
  <c r="K93" i="68"/>
  <c r="I93" i="68"/>
  <c r="I92" i="68"/>
  <c r="K92" i="68" s="1"/>
  <c r="K91" i="68"/>
  <c r="I91" i="68"/>
  <c r="K90" i="68"/>
  <c r="I90" i="68"/>
  <c r="K89" i="68"/>
  <c r="I89" i="68"/>
  <c r="I88" i="68"/>
  <c r="K88" i="68" s="1"/>
  <c r="K87" i="68"/>
  <c r="K98" i="68" s="1"/>
  <c r="K146" i="68" s="1"/>
  <c r="I87" i="68"/>
  <c r="I98" i="68" s="1"/>
  <c r="I146" i="68" s="1"/>
  <c r="K86" i="68"/>
  <c r="I86" i="68"/>
  <c r="J82" i="68"/>
  <c r="J145" i="68" s="1"/>
  <c r="I82" i="68"/>
  <c r="I145" i="68" s="1"/>
  <c r="H82" i="68"/>
  <c r="H145" i="68" s="1"/>
  <c r="G82" i="68"/>
  <c r="G145" i="68" s="1"/>
  <c r="F82" i="68"/>
  <c r="F145" i="68" s="1"/>
  <c r="K80" i="68"/>
  <c r="K79" i="68"/>
  <c r="K78" i="68"/>
  <c r="K82" i="68" s="1"/>
  <c r="K145" i="68" s="1"/>
  <c r="K77" i="68"/>
  <c r="J74" i="68"/>
  <c r="I74" i="68"/>
  <c r="H74" i="68"/>
  <c r="H144" i="68" s="1"/>
  <c r="G74" i="68"/>
  <c r="G144" i="68" s="1"/>
  <c r="F74" i="68"/>
  <c r="F144" i="68" s="1"/>
  <c r="K72" i="68"/>
  <c r="K71" i="68"/>
  <c r="K70" i="68"/>
  <c r="K69" i="68"/>
  <c r="K68" i="68"/>
  <c r="K74" i="68" s="1"/>
  <c r="K144" i="68" s="1"/>
  <c r="J64" i="68"/>
  <c r="J143" i="68" s="1"/>
  <c r="H64" i="68"/>
  <c r="H143" i="68" s="1"/>
  <c r="G64" i="68"/>
  <c r="F64" i="68"/>
  <c r="F143" i="68" s="1"/>
  <c r="K62" i="68"/>
  <c r="K61" i="68"/>
  <c r="K60" i="68"/>
  <c r="K59" i="68"/>
  <c r="K58" i="68"/>
  <c r="K57" i="68"/>
  <c r="K56" i="68"/>
  <c r="I55" i="68"/>
  <c r="K55" i="68" s="1"/>
  <c r="I54" i="68"/>
  <c r="K54" i="68" s="1"/>
  <c r="K53" i="68"/>
  <c r="I53" i="68"/>
  <c r="I64" i="68" s="1"/>
  <c r="I143" i="68" s="1"/>
  <c r="J49" i="68"/>
  <c r="J142" i="68" s="1"/>
  <c r="G49" i="68"/>
  <c r="G142" i="68" s="1"/>
  <c r="F49" i="68"/>
  <c r="F142" i="68" s="1"/>
  <c r="K47" i="68"/>
  <c r="K46" i="68"/>
  <c r="K45" i="68"/>
  <c r="K44" i="68"/>
  <c r="K43" i="68"/>
  <c r="K42" i="68"/>
  <c r="H41" i="68"/>
  <c r="I40" i="68"/>
  <c r="J36" i="68"/>
  <c r="J141" i="68" s="1"/>
  <c r="H36" i="68"/>
  <c r="H141" i="68" s="1"/>
  <c r="G36" i="68"/>
  <c r="G141" i="68" s="1"/>
  <c r="G152" i="68" s="1"/>
  <c r="F36" i="68"/>
  <c r="F141" i="68" s="1"/>
  <c r="I34" i="68"/>
  <c r="K34" i="68" s="1"/>
  <c r="I33" i="68"/>
  <c r="K33" i="68" s="1"/>
  <c r="I32" i="68"/>
  <c r="K32" i="68" s="1"/>
  <c r="I31" i="68"/>
  <c r="K31" i="68" s="1"/>
  <c r="I30" i="68"/>
  <c r="K30" i="68" s="1"/>
  <c r="I29" i="68"/>
  <c r="K29" i="68" s="1"/>
  <c r="I28" i="68"/>
  <c r="K28" i="68" s="1"/>
  <c r="I27" i="68"/>
  <c r="K27" i="68" s="1"/>
  <c r="I26" i="68"/>
  <c r="K26" i="68" s="1"/>
  <c r="I25" i="68"/>
  <c r="K25" i="68" s="1"/>
  <c r="I24" i="68"/>
  <c r="K24" i="68" s="1"/>
  <c r="I23" i="68"/>
  <c r="K23" i="68" s="1"/>
  <c r="I22" i="68"/>
  <c r="K22" i="68" s="1"/>
  <c r="I21" i="68"/>
  <c r="K21" i="68" s="1"/>
  <c r="K36" i="68" s="1"/>
  <c r="K141" i="68" s="1"/>
  <c r="K18" i="68"/>
  <c r="K150" i="68" s="1"/>
  <c r="J152" i="68" l="1"/>
  <c r="I49" i="68"/>
  <c r="I142" i="68" s="1"/>
  <c r="K41" i="68"/>
  <c r="F152" i="68"/>
  <c r="K64" i="68"/>
  <c r="K143" i="68" s="1"/>
  <c r="K108" i="68"/>
  <c r="K147" i="68" s="1"/>
  <c r="K40" i="68"/>
  <c r="I41" i="68"/>
  <c r="I36" i="68"/>
  <c r="I141" i="68" s="1"/>
  <c r="I152" i="68" s="1"/>
  <c r="H49" i="68"/>
  <c r="H142" i="68" s="1"/>
  <c r="H152" i="68" s="1"/>
  <c r="K49" i="68" l="1"/>
  <c r="K142" i="68" s="1"/>
  <c r="K152" i="68" s="1"/>
  <c r="F155" i="68" l="1"/>
  <c r="F154" i="68"/>
  <c r="J150" i="67" l="1"/>
  <c r="I150" i="67"/>
  <c r="H150" i="67"/>
  <c r="H149" i="67"/>
  <c r="K148" i="67"/>
  <c r="I144" i="67"/>
  <c r="G143" i="67"/>
  <c r="J137" i="67"/>
  <c r="J149" i="67" s="1"/>
  <c r="I137" i="67"/>
  <c r="I149" i="67" s="1"/>
  <c r="H137" i="67"/>
  <c r="G137" i="67"/>
  <c r="G149" i="67" s="1"/>
  <c r="F137" i="67"/>
  <c r="F149" i="67" s="1"/>
  <c r="K135" i="67"/>
  <c r="K134" i="67"/>
  <c r="K133" i="67"/>
  <c r="K132" i="67"/>
  <c r="K131" i="67"/>
  <c r="K137" i="67" s="1"/>
  <c r="K149" i="67" s="1"/>
  <c r="F119" i="67"/>
  <c r="F123" i="67" s="1"/>
  <c r="F127" i="67" s="1"/>
  <c r="J108" i="67"/>
  <c r="J147" i="67" s="1"/>
  <c r="H108" i="67"/>
  <c r="H147" i="67" s="1"/>
  <c r="G108" i="67"/>
  <c r="G147" i="67" s="1"/>
  <c r="F108" i="67"/>
  <c r="F147" i="67" s="1"/>
  <c r="I106" i="67"/>
  <c r="K106" i="67" s="1"/>
  <c r="K105" i="67"/>
  <c r="I105" i="67"/>
  <c r="K104" i="67"/>
  <c r="I104" i="67"/>
  <c r="I108" i="67" s="1"/>
  <c r="I147" i="67" s="1"/>
  <c r="K103" i="67"/>
  <c r="I103" i="67"/>
  <c r="I102" i="67"/>
  <c r="K102" i="67" s="1"/>
  <c r="J98" i="67"/>
  <c r="J146" i="67" s="1"/>
  <c r="H98" i="67"/>
  <c r="H146" i="67" s="1"/>
  <c r="G98" i="67"/>
  <c r="G146" i="67" s="1"/>
  <c r="F98" i="67"/>
  <c r="F146" i="67" s="1"/>
  <c r="I96" i="67"/>
  <c r="K96" i="67" s="1"/>
  <c r="K95" i="67"/>
  <c r="I95" i="67"/>
  <c r="K94" i="67"/>
  <c r="I94" i="67"/>
  <c r="K93" i="67"/>
  <c r="I93" i="67"/>
  <c r="I92" i="67"/>
  <c r="K92" i="67" s="1"/>
  <c r="K91" i="67"/>
  <c r="I91" i="67"/>
  <c r="K90" i="67"/>
  <c r="I90" i="67"/>
  <c r="K89" i="67"/>
  <c r="I89" i="67"/>
  <c r="I88" i="67"/>
  <c r="K88" i="67" s="1"/>
  <c r="K87" i="67"/>
  <c r="K98" i="67" s="1"/>
  <c r="K146" i="67" s="1"/>
  <c r="I87" i="67"/>
  <c r="K86" i="67"/>
  <c r="I86" i="67"/>
  <c r="I98" i="67" s="1"/>
  <c r="I146" i="67" s="1"/>
  <c r="J82" i="67"/>
  <c r="J145" i="67" s="1"/>
  <c r="I82" i="67"/>
  <c r="I145" i="67" s="1"/>
  <c r="G82" i="67"/>
  <c r="G145" i="67" s="1"/>
  <c r="F82" i="67"/>
  <c r="F145" i="67" s="1"/>
  <c r="K80" i="67"/>
  <c r="H79" i="67"/>
  <c r="H82" i="67" s="1"/>
  <c r="H145" i="67" s="1"/>
  <c r="K78" i="67"/>
  <c r="K77" i="67"/>
  <c r="J74" i="67"/>
  <c r="J144" i="67" s="1"/>
  <c r="I74" i="67"/>
  <c r="H74" i="67"/>
  <c r="H144" i="67" s="1"/>
  <c r="G74" i="67"/>
  <c r="G144" i="67" s="1"/>
  <c r="F74" i="67"/>
  <c r="F144" i="67" s="1"/>
  <c r="K72" i="67"/>
  <c r="K71" i="67"/>
  <c r="K70" i="67"/>
  <c r="K69" i="67"/>
  <c r="K68" i="67"/>
  <c r="K74" i="67" s="1"/>
  <c r="K144" i="67" s="1"/>
  <c r="J64" i="67"/>
  <c r="J143" i="67" s="1"/>
  <c r="I64" i="67"/>
  <c r="I143" i="67" s="1"/>
  <c r="H64" i="67"/>
  <c r="H143" i="67" s="1"/>
  <c r="G64" i="67"/>
  <c r="F64" i="67"/>
  <c r="F143" i="67" s="1"/>
  <c r="K62" i="67"/>
  <c r="K61" i="67"/>
  <c r="K60" i="67"/>
  <c r="K59" i="67"/>
  <c r="K58" i="67"/>
  <c r="I58" i="67"/>
  <c r="K57" i="67"/>
  <c r="K56" i="67"/>
  <c r="K55" i="67"/>
  <c r="I54" i="67"/>
  <c r="K54" i="67" s="1"/>
  <c r="K64" i="67" s="1"/>
  <c r="K143" i="67" s="1"/>
  <c r="K53" i="67"/>
  <c r="J49" i="67"/>
  <c r="J142" i="67" s="1"/>
  <c r="I49" i="67"/>
  <c r="I142" i="67" s="1"/>
  <c r="G49" i="67"/>
  <c r="G142" i="67" s="1"/>
  <c r="K47" i="67"/>
  <c r="K46" i="67"/>
  <c r="K45" i="67"/>
  <c r="K44" i="67"/>
  <c r="K43" i="67"/>
  <c r="K42" i="67"/>
  <c r="K41" i="67"/>
  <c r="H40" i="67"/>
  <c r="H49" i="67" s="1"/>
  <c r="H142" i="67" s="1"/>
  <c r="F40" i="67"/>
  <c r="F49" i="67" s="1"/>
  <c r="F142" i="67" s="1"/>
  <c r="K34" i="67"/>
  <c r="I34" i="67"/>
  <c r="K33" i="67"/>
  <c r="I33" i="67"/>
  <c r="K32" i="67"/>
  <c r="I32" i="67"/>
  <c r="K31" i="67"/>
  <c r="I31" i="67"/>
  <c r="K30" i="67"/>
  <c r="I30" i="67"/>
  <c r="K29" i="67"/>
  <c r="I29" i="67"/>
  <c r="K28" i="67"/>
  <c r="I28" i="67"/>
  <c r="K27" i="67"/>
  <c r="I27" i="67"/>
  <c r="K26" i="67"/>
  <c r="I26" i="67"/>
  <c r="K25" i="67"/>
  <c r="I25" i="67"/>
  <c r="K24" i="67"/>
  <c r="I24" i="67"/>
  <c r="K23" i="67"/>
  <c r="I23" i="67"/>
  <c r="K22" i="67"/>
  <c r="I22" i="67"/>
  <c r="K21" i="67"/>
  <c r="K36" i="67" s="1"/>
  <c r="K141" i="67" s="1"/>
  <c r="J21" i="67"/>
  <c r="J36" i="67" s="1"/>
  <c r="J141" i="67" s="1"/>
  <c r="I21" i="67"/>
  <c r="I36" i="67" s="1"/>
  <c r="I141" i="67" s="1"/>
  <c r="I152" i="67" s="1"/>
  <c r="H21" i="67"/>
  <c r="H36" i="67" s="1"/>
  <c r="H141" i="67" s="1"/>
  <c r="G21" i="67"/>
  <c r="G36" i="67" s="1"/>
  <c r="G141" i="67" s="1"/>
  <c r="F21" i="67"/>
  <c r="F36" i="67" s="1"/>
  <c r="F141" i="67" s="1"/>
  <c r="K18" i="67"/>
  <c r="K150" i="67" s="1"/>
  <c r="K108" i="67" l="1"/>
  <c r="K147" i="67" s="1"/>
  <c r="F152" i="67"/>
  <c r="J152" i="67"/>
  <c r="G152" i="67"/>
  <c r="H152" i="67"/>
  <c r="K79" i="67"/>
  <c r="K82" i="67" s="1"/>
  <c r="K145" i="67" s="1"/>
  <c r="K40" i="67"/>
  <c r="K49" i="67" s="1"/>
  <c r="K142" i="67" s="1"/>
  <c r="K152" i="67" s="1"/>
  <c r="F155" i="67" l="1"/>
  <c r="F154" i="67"/>
  <c r="D53" i="4" l="1"/>
  <c r="C53" i="4"/>
  <c r="E29" i="3"/>
  <c r="E21" i="3"/>
  <c r="E13" i="3"/>
  <c r="E31" i="3"/>
  <c r="E27" i="3"/>
  <c r="E23" i="3"/>
  <c r="E19" i="3"/>
  <c r="E15" i="3"/>
  <c r="E11" i="3"/>
  <c r="E4" i="3"/>
  <c r="E6" i="3"/>
  <c r="E7" i="3"/>
  <c r="E8" i="3"/>
  <c r="E9" i="3"/>
  <c r="E10" i="3"/>
  <c r="E12" i="3"/>
  <c r="E14" i="3"/>
  <c r="E16" i="3"/>
  <c r="E17" i="3"/>
  <c r="E18" i="3"/>
  <c r="E20" i="3"/>
  <c r="E22" i="3"/>
  <c r="E24" i="3"/>
  <c r="E25" i="3"/>
  <c r="E26" i="3"/>
  <c r="E28" i="3"/>
  <c r="E30" i="3"/>
  <c r="E32" i="3"/>
  <c r="E33" i="3"/>
  <c r="E34" i="3"/>
  <c r="E35" i="3"/>
  <c r="E36" i="3"/>
  <c r="E37" i="3"/>
  <c r="E38" i="3"/>
  <c r="E39" i="3"/>
  <c r="E40" i="3"/>
  <c r="E41" i="3"/>
  <c r="E42" i="3"/>
  <c r="E43" i="3"/>
  <c r="E44" i="3"/>
  <c r="E45" i="3"/>
  <c r="E46" i="3"/>
  <c r="E47" i="3"/>
  <c r="E48" i="3"/>
  <c r="E49" i="3"/>
  <c r="E50" i="3"/>
  <c r="E51" i="3"/>
  <c r="E52" i="3"/>
  <c r="E3" i="3"/>
  <c r="E5" i="3" l="1"/>
  <c r="B64" i="6" l="1"/>
  <c r="C64" i="6"/>
  <c r="D29" i="6"/>
  <c r="C29" i="6"/>
  <c r="B29" i="6"/>
  <c r="E53" i="3" l="1"/>
  <c r="D53" i="3"/>
  <c r="C53" i="3"/>
  <c r="C63" i="6" l="1"/>
  <c r="B63" i="6"/>
  <c r="D28" i="6"/>
  <c r="C28" i="6"/>
  <c r="B28" i="6"/>
  <c r="E38" i="6"/>
  <c r="D41" i="6"/>
  <c r="D31" i="6" s="1"/>
  <c r="C41" i="6"/>
  <c r="C31" i="6" s="1"/>
  <c r="B41" i="6"/>
  <c r="B31" i="6" s="1"/>
  <c r="E28" i="6" l="1"/>
  <c r="D63" i="6" s="1"/>
  <c r="C51" i="6" s="1"/>
  <c r="E31" i="6"/>
  <c r="B51" i="6"/>
  <c r="B75" i="6"/>
  <c r="F52" i="4"/>
  <c r="H52" i="126" s="1"/>
  <c r="F51" i="4"/>
  <c r="H51" i="126" s="1"/>
  <c r="F50" i="4"/>
  <c r="H50" i="126" s="1"/>
  <c r="F49" i="4"/>
  <c r="H49" i="126" s="1"/>
  <c r="F48" i="4"/>
  <c r="H48" i="126" s="1"/>
  <c r="F47" i="4"/>
  <c r="H47" i="126" s="1"/>
  <c r="F46" i="4"/>
  <c r="H46" i="126" s="1"/>
  <c r="F45" i="4"/>
  <c r="H45" i="126" s="1"/>
  <c r="F44" i="4"/>
  <c r="H44" i="126" s="1"/>
  <c r="F43" i="4"/>
  <c r="H43" i="126" s="1"/>
  <c r="F42" i="4"/>
  <c r="H42" i="126" s="1"/>
  <c r="F41" i="4"/>
  <c r="H41" i="126" s="1"/>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3" i="4"/>
  <c r="C75" i="6" l="1"/>
  <c r="F4" i="4"/>
  <c r="F53" i="4"/>
  <c r="F20" i="126" l="1"/>
  <c r="E11" i="126" l="1"/>
  <c r="F31" i="126" l="1"/>
  <c r="G16" i="60" l="1"/>
  <c r="G14" i="60"/>
  <c r="G11" i="60"/>
  <c r="D27" i="6" l="1"/>
  <c r="C27" i="6"/>
  <c r="E37" i="6"/>
  <c r="C62" i="6"/>
  <c r="B50" i="6" s="1"/>
  <c r="B62" i="6"/>
  <c r="B74" i="6" l="1"/>
  <c r="B27" i="6"/>
  <c r="E27" i="6" s="1"/>
  <c r="D62" i="6" s="1"/>
  <c r="C50" i="6" s="1"/>
  <c r="C74" i="6" l="1"/>
  <c r="E19" i="126" l="1"/>
  <c r="K19" i="126"/>
  <c r="K31" i="126"/>
  <c r="E31" i="126" l="1"/>
  <c r="D31" i="126"/>
  <c r="E20" i="126"/>
  <c r="E38" i="126"/>
  <c r="G100" i="60" l="1"/>
  <c r="H100" i="60"/>
  <c r="I100" i="60"/>
  <c r="K100" i="60"/>
  <c r="G101" i="60"/>
  <c r="H101" i="60"/>
  <c r="I101" i="60"/>
  <c r="K101" i="60"/>
  <c r="G102" i="60"/>
  <c r="H102" i="60"/>
  <c r="I102" i="60"/>
  <c r="K102" i="60"/>
  <c r="G103" i="60"/>
  <c r="H103" i="60"/>
  <c r="I103" i="60"/>
  <c r="K103" i="60"/>
  <c r="H99" i="60"/>
  <c r="I99" i="60"/>
  <c r="K99" i="60"/>
  <c r="H85" i="60"/>
  <c r="K68" i="60"/>
  <c r="H72" i="60"/>
  <c r="K72" i="60"/>
  <c r="G76" i="60"/>
  <c r="H76" i="60"/>
  <c r="I76" i="60"/>
  <c r="K76" i="60"/>
  <c r="H66" i="60"/>
  <c r="K66" i="60"/>
  <c r="G66" i="60"/>
  <c r="G56" i="60" l="1"/>
  <c r="H56" i="60"/>
  <c r="I56" i="60"/>
  <c r="K56" i="60"/>
  <c r="K57" i="60"/>
  <c r="G58" i="60"/>
  <c r="H58" i="60"/>
  <c r="I58" i="60"/>
  <c r="K58" i="60"/>
  <c r="G48" i="60"/>
  <c r="H48" i="60"/>
  <c r="K48" i="60"/>
  <c r="G49" i="60"/>
  <c r="H49" i="60"/>
  <c r="I49" i="60"/>
  <c r="K49" i="60"/>
  <c r="H47" i="60"/>
  <c r="K30" i="60"/>
  <c r="G32" i="60"/>
  <c r="H32" i="60"/>
  <c r="I32" i="60"/>
  <c r="K32" i="60"/>
  <c r="G33" i="60"/>
  <c r="H33" i="60"/>
  <c r="I33" i="60"/>
  <c r="K33" i="60"/>
  <c r="G34" i="60"/>
  <c r="H34" i="60"/>
  <c r="I34" i="60"/>
  <c r="K34" i="60"/>
  <c r="G35" i="60"/>
  <c r="H35" i="60"/>
  <c r="I35" i="60"/>
  <c r="K35" i="60"/>
  <c r="G36" i="60"/>
  <c r="H36" i="60"/>
  <c r="I36" i="60"/>
  <c r="K36" i="60"/>
  <c r="H6" i="60"/>
  <c r="J6" i="60"/>
  <c r="G6" i="60"/>
  <c r="G99" i="60" l="1"/>
  <c r="K22" i="60"/>
  <c r="I22" i="60"/>
  <c r="H22" i="60"/>
  <c r="G22" i="60"/>
  <c r="K21" i="60"/>
  <c r="I21" i="60"/>
  <c r="H21" i="60"/>
  <c r="G21" i="60"/>
  <c r="K20" i="60"/>
  <c r="H20" i="60"/>
  <c r="K19" i="60"/>
  <c r="I19" i="60"/>
  <c r="H19" i="60"/>
  <c r="G19" i="60"/>
  <c r="H18" i="60"/>
  <c r="H17" i="60"/>
  <c r="K16" i="60"/>
  <c r="H16" i="60"/>
  <c r="K15" i="60"/>
  <c r="I15" i="60"/>
  <c r="H15" i="60"/>
  <c r="G15" i="60"/>
  <c r="H14" i="60"/>
  <c r="I12" i="60" l="1"/>
  <c r="L10" i="60" l="1"/>
  <c r="L13" i="60"/>
  <c r="L11" i="60"/>
  <c r="L9" i="60"/>
  <c r="L15" i="60"/>
  <c r="J101" i="60" l="1"/>
  <c r="J99" i="60"/>
  <c r="J100" i="60" l="1"/>
  <c r="J102" i="60"/>
  <c r="K12" i="60"/>
  <c r="J103" i="60"/>
  <c r="I16" i="60" l="1"/>
  <c r="K14" i="60"/>
  <c r="I14" i="60"/>
  <c r="J58" i="60" l="1"/>
  <c r="J56" i="60"/>
  <c r="J49" i="60"/>
  <c r="D30" i="126" l="1"/>
  <c r="G87" i="60" l="1"/>
  <c r="G86" i="60"/>
  <c r="G75" i="60"/>
  <c r="G74" i="60"/>
  <c r="H70" i="60"/>
  <c r="G69" i="60"/>
  <c r="H86" i="60" l="1"/>
  <c r="H69" i="60"/>
  <c r="I70" i="60"/>
  <c r="H75" i="60"/>
  <c r="H74" i="60"/>
  <c r="I86" i="60" l="1"/>
  <c r="H87" i="60"/>
  <c r="I69" i="60"/>
  <c r="I75" i="60"/>
  <c r="I74" i="60"/>
  <c r="K70" i="60"/>
  <c r="I87" i="60" l="1"/>
  <c r="K69" i="60"/>
  <c r="K75" i="60"/>
  <c r="K74" i="60"/>
  <c r="K86" i="60" l="1"/>
  <c r="K87" i="60"/>
  <c r="D19" i="126" l="1"/>
  <c r="K55" i="60"/>
  <c r="H55" i="60"/>
  <c r="F19" i="126" l="1"/>
  <c r="K85" i="60" l="1"/>
  <c r="I85" i="60"/>
  <c r="G85" i="60"/>
  <c r="I72" i="60"/>
  <c r="G72" i="60"/>
  <c r="G70" i="60"/>
  <c r="I68" i="60"/>
  <c r="H68" i="60"/>
  <c r="G68" i="60"/>
  <c r="I66" i="60"/>
  <c r="I57" i="60"/>
  <c r="H57" i="60"/>
  <c r="G57" i="60"/>
  <c r="I55" i="60"/>
  <c r="G55" i="60"/>
  <c r="I48" i="60"/>
  <c r="K47" i="60"/>
  <c r="I47" i="60"/>
  <c r="G47" i="60"/>
  <c r="K31" i="60"/>
  <c r="I31" i="60"/>
  <c r="H31" i="60"/>
  <c r="G31" i="60"/>
  <c r="K29" i="60"/>
  <c r="H29" i="60"/>
  <c r="G29" i="60"/>
  <c r="K18" i="60"/>
  <c r="I18" i="60"/>
  <c r="G18" i="60"/>
  <c r="G17" i="60"/>
  <c r="H12" i="60"/>
  <c r="G12" i="60"/>
  <c r="J36" i="60" l="1"/>
  <c r="J35" i="60"/>
  <c r="J34" i="60"/>
  <c r="J33" i="60"/>
  <c r="J32" i="60"/>
  <c r="K17" i="60"/>
  <c r="K84" i="60" l="1"/>
  <c r="I84" i="60"/>
  <c r="H84" i="60"/>
  <c r="G84" i="60"/>
  <c r="K83" i="60"/>
  <c r="I83" i="60"/>
  <c r="H83" i="60"/>
  <c r="G83" i="60"/>
  <c r="K73" i="60"/>
  <c r="I73" i="60"/>
  <c r="H73" i="60"/>
  <c r="G73" i="60"/>
  <c r="K71" i="60"/>
  <c r="I71" i="60"/>
  <c r="H71" i="60"/>
  <c r="G71" i="60"/>
  <c r="K67" i="60"/>
  <c r="I67" i="60"/>
  <c r="H67" i="60"/>
  <c r="G67" i="60"/>
  <c r="I30" i="60"/>
  <c r="H30" i="60"/>
  <c r="G30" i="60"/>
  <c r="G38" i="60" s="1"/>
  <c r="K13" i="60"/>
  <c r="I13" i="60"/>
  <c r="H13" i="60"/>
  <c r="G13" i="60"/>
  <c r="K11" i="60"/>
  <c r="I11" i="60"/>
  <c r="H11" i="60"/>
  <c r="K10" i="60"/>
  <c r="K6" i="60"/>
  <c r="I6" i="60"/>
  <c r="J57" i="60" l="1"/>
  <c r="J55" i="60"/>
  <c r="J48" i="60"/>
  <c r="J31" i="60"/>
  <c r="J30" i="60"/>
  <c r="J29" i="60"/>
  <c r="G20" i="60"/>
  <c r="K9" i="60"/>
  <c r="H9" i="60"/>
  <c r="I10" i="60" l="1"/>
  <c r="I20" i="60"/>
  <c r="G9" i="60"/>
  <c r="I9" i="60"/>
  <c r="J47" i="60" l="1"/>
  <c r="D6" i="126" l="1"/>
  <c r="I29" i="60" l="1"/>
  <c r="I17" i="60"/>
  <c r="H10" i="60"/>
  <c r="G10" i="60"/>
  <c r="J84" i="60" l="1"/>
  <c r="J83" i="60"/>
  <c r="J73" i="60"/>
  <c r="J72" i="60"/>
  <c r="J71" i="60"/>
  <c r="J68" i="60"/>
  <c r="J67" i="60"/>
  <c r="J17" i="60"/>
  <c r="J14" i="60"/>
  <c r="J13" i="60"/>
  <c r="J10" i="60"/>
  <c r="J9" i="60" l="1"/>
  <c r="M9" i="60" s="1"/>
  <c r="L103" i="60"/>
  <c r="L102" i="60"/>
  <c r="L101" i="60"/>
  <c r="L100" i="60"/>
  <c r="L99" i="60"/>
  <c r="J87" i="60"/>
  <c r="J85" i="60"/>
  <c r="L83" i="60"/>
  <c r="J76" i="60"/>
  <c r="J75" i="60"/>
  <c r="J74" i="60"/>
  <c r="L73" i="60"/>
  <c r="L72" i="60"/>
  <c r="M72" i="60" s="1"/>
  <c r="L71" i="60"/>
  <c r="J70" i="60"/>
  <c r="J69" i="60"/>
  <c r="L68" i="60"/>
  <c r="L67" i="60"/>
  <c r="J66" i="60"/>
  <c r="L58" i="60"/>
  <c r="L57" i="60"/>
  <c r="L56" i="60"/>
  <c r="L55" i="60"/>
  <c r="L49" i="60"/>
  <c r="L48" i="60"/>
  <c r="L47" i="60"/>
  <c r="K43" i="60"/>
  <c r="J43" i="60"/>
  <c r="I43" i="60"/>
  <c r="H43" i="60"/>
  <c r="G43" i="60"/>
  <c r="L36" i="60"/>
  <c r="L35" i="60"/>
  <c r="L34" i="60"/>
  <c r="L33" i="60"/>
  <c r="L32" i="60"/>
  <c r="L31" i="60"/>
  <c r="L30" i="60"/>
  <c r="L29" i="60"/>
  <c r="L17" i="60"/>
  <c r="L14" i="60"/>
  <c r="J11" i="60"/>
  <c r="L12" i="60" l="1"/>
  <c r="J12" i="60"/>
  <c r="L21" i="60"/>
  <c r="J21" i="60"/>
  <c r="L22" i="60"/>
  <c r="J22" i="60"/>
  <c r="J15" i="60"/>
  <c r="M6" i="60"/>
  <c r="L16" i="60"/>
  <c r="J16" i="60"/>
  <c r="L18" i="60"/>
  <c r="J18" i="60"/>
  <c r="L84" i="60"/>
  <c r="L19" i="60"/>
  <c r="J19" i="60"/>
  <c r="L20" i="60"/>
  <c r="J20" i="60"/>
  <c r="L86" i="60"/>
  <c r="J86" i="60"/>
  <c r="L74" i="60"/>
  <c r="L66" i="60"/>
  <c r="L70" i="60"/>
  <c r="L75" i="60"/>
  <c r="L87" i="60"/>
  <c r="L76" i="60"/>
  <c r="L43" i="60"/>
  <c r="L69" i="60"/>
  <c r="L85" i="60"/>
  <c r="M11" i="60"/>
  <c r="M43" i="60" l="1"/>
  <c r="B26" i="6" l="1"/>
  <c r="C26" i="6"/>
  <c r="D26" i="6"/>
  <c r="E36" i="6"/>
  <c r="E26" i="6" l="1"/>
  <c r="K3" i="126" l="1"/>
  <c r="F3" i="126"/>
  <c r="D3" i="126"/>
  <c r="K25" i="126"/>
  <c r="F25" i="126"/>
  <c r="E25" i="126"/>
  <c r="D25" i="126"/>
  <c r="K20" i="126"/>
  <c r="D20" i="126"/>
  <c r="K15" i="126"/>
  <c r="F15" i="126"/>
  <c r="F14" i="126"/>
  <c r="E15" i="126"/>
  <c r="E14" i="126"/>
  <c r="D15" i="126"/>
  <c r="D14" i="126"/>
  <c r="K21" i="126"/>
  <c r="F21" i="126"/>
  <c r="E21" i="126"/>
  <c r="D21" i="126"/>
  <c r="C21" i="126"/>
  <c r="C20" i="126"/>
  <c r="C3" i="126"/>
  <c r="C61" i="6" l="1"/>
  <c r="D61" i="6" s="1"/>
  <c r="B61" i="6"/>
  <c r="K49" i="126"/>
  <c r="K48" i="126"/>
  <c r="B73" i="6" l="1"/>
  <c r="B49" i="6"/>
  <c r="C49" i="6" l="1"/>
  <c r="C73" i="6" l="1"/>
  <c r="K50" i="126" l="1"/>
  <c r="K51" i="126"/>
  <c r="F50" i="126"/>
  <c r="I50" i="126" s="1"/>
  <c r="F51" i="126"/>
  <c r="E50" i="126"/>
  <c r="E51" i="126"/>
  <c r="D50" i="126"/>
  <c r="D51" i="126"/>
  <c r="C50" i="126"/>
  <c r="C51" i="126"/>
  <c r="C52" i="126"/>
  <c r="C42" i="126"/>
  <c r="K41" i="126"/>
  <c r="F41" i="126"/>
  <c r="E41" i="126"/>
  <c r="D41" i="126"/>
  <c r="C41" i="126"/>
  <c r="K43" i="126"/>
  <c r="F43" i="126"/>
  <c r="E43" i="126"/>
  <c r="D43" i="126"/>
  <c r="C43" i="126"/>
  <c r="F49" i="126"/>
  <c r="E49" i="126"/>
  <c r="D49" i="126"/>
  <c r="C49" i="126"/>
  <c r="F48" i="126"/>
  <c r="E48" i="126"/>
  <c r="D48" i="126"/>
  <c r="C48" i="126"/>
  <c r="K47" i="126"/>
  <c r="F47" i="126"/>
  <c r="E47" i="126"/>
  <c r="D47" i="126"/>
  <c r="C47" i="126"/>
  <c r="K46" i="126"/>
  <c r="F46" i="126"/>
  <c r="E46" i="126"/>
  <c r="D46" i="126"/>
  <c r="C46" i="126"/>
  <c r="K45" i="126"/>
  <c r="F45" i="126"/>
  <c r="E45" i="126"/>
  <c r="D45" i="126"/>
  <c r="C45" i="126"/>
  <c r="K44" i="126"/>
  <c r="E44" i="126"/>
  <c r="D44" i="126"/>
  <c r="C44" i="126"/>
  <c r="K40" i="126"/>
  <c r="F40" i="126"/>
  <c r="E40" i="126"/>
  <c r="D40" i="126"/>
  <c r="C40" i="126"/>
  <c r="K39" i="126"/>
  <c r="F39" i="126"/>
  <c r="E39" i="126"/>
  <c r="D39" i="126"/>
  <c r="C39" i="126"/>
  <c r="C38" i="126"/>
  <c r="K37" i="126"/>
  <c r="F37" i="126"/>
  <c r="E37" i="126"/>
  <c r="D37" i="126"/>
  <c r="C37" i="126"/>
  <c r="K36" i="126"/>
  <c r="E36" i="126"/>
  <c r="D36" i="126"/>
  <c r="C36" i="126"/>
  <c r="K35" i="126"/>
  <c r="F35" i="126"/>
  <c r="E35" i="126"/>
  <c r="D35" i="126"/>
  <c r="C35" i="126"/>
  <c r="K34" i="126"/>
  <c r="F34" i="126"/>
  <c r="E34" i="126"/>
  <c r="D34" i="126"/>
  <c r="C34" i="126"/>
  <c r="K33" i="126"/>
  <c r="F33" i="126"/>
  <c r="E33" i="126"/>
  <c r="D33" i="126"/>
  <c r="C33" i="126"/>
  <c r="K32" i="126"/>
  <c r="E32" i="126"/>
  <c r="C32" i="126"/>
  <c r="K30" i="126"/>
  <c r="E30" i="126"/>
  <c r="C30" i="126"/>
  <c r="K29" i="126"/>
  <c r="F29" i="126"/>
  <c r="E29" i="126"/>
  <c r="D29" i="126"/>
  <c r="C29" i="126"/>
  <c r="K28" i="126"/>
  <c r="F28" i="126"/>
  <c r="E28" i="126"/>
  <c r="D28" i="126"/>
  <c r="C28" i="126"/>
  <c r="K27" i="126"/>
  <c r="F27" i="126"/>
  <c r="E27" i="126"/>
  <c r="D27" i="126"/>
  <c r="C27" i="126"/>
  <c r="C25" i="126"/>
  <c r="K24" i="126"/>
  <c r="F24" i="126"/>
  <c r="E24" i="126"/>
  <c r="D24" i="126"/>
  <c r="C24" i="126"/>
  <c r="K23" i="126"/>
  <c r="F23" i="126"/>
  <c r="E23" i="126"/>
  <c r="D23" i="126"/>
  <c r="C23" i="126"/>
  <c r="K22" i="126"/>
  <c r="F22" i="126"/>
  <c r="E22" i="126"/>
  <c r="D22" i="126"/>
  <c r="C22" i="126"/>
  <c r="C19" i="126"/>
  <c r="K18" i="126"/>
  <c r="F18" i="126"/>
  <c r="E18" i="126"/>
  <c r="D18" i="126"/>
  <c r="C18" i="126"/>
  <c r="K17" i="126"/>
  <c r="E17" i="126"/>
  <c r="D17" i="126"/>
  <c r="C17" i="126"/>
  <c r="C16" i="126"/>
  <c r="C15" i="126"/>
  <c r="K14" i="126"/>
  <c r="C14" i="126"/>
  <c r="K13" i="126"/>
  <c r="F13" i="126"/>
  <c r="E13" i="126"/>
  <c r="D13" i="126"/>
  <c r="C13" i="126"/>
  <c r="K12" i="126"/>
  <c r="F12" i="126"/>
  <c r="E12" i="126"/>
  <c r="D12" i="126"/>
  <c r="C12" i="126"/>
  <c r="K10" i="126"/>
  <c r="F10" i="126"/>
  <c r="E10" i="126"/>
  <c r="D10" i="126"/>
  <c r="C10" i="126"/>
  <c r="K9" i="126"/>
  <c r="F9" i="126"/>
  <c r="E9" i="126"/>
  <c r="D9" i="126"/>
  <c r="C9" i="126"/>
  <c r="K8" i="126"/>
  <c r="F8" i="126"/>
  <c r="E8" i="126"/>
  <c r="D8" i="126"/>
  <c r="C8" i="126"/>
  <c r="K7" i="126"/>
  <c r="F7" i="126"/>
  <c r="E7" i="126"/>
  <c r="D7" i="126"/>
  <c r="C7" i="126"/>
  <c r="K6" i="126"/>
  <c r="F6" i="126"/>
  <c r="E6" i="126"/>
  <c r="C6" i="126"/>
  <c r="K5" i="126"/>
  <c r="F5" i="126"/>
  <c r="E5" i="126"/>
  <c r="D5" i="126"/>
  <c r="C5" i="126"/>
  <c r="C4" i="126"/>
  <c r="E3" i="126"/>
  <c r="G3" i="126" s="1"/>
  <c r="G29" i="126" l="1"/>
  <c r="G51" i="126"/>
  <c r="G50" i="126"/>
  <c r="G19" i="126"/>
  <c r="G27" i="126"/>
  <c r="G35" i="126"/>
  <c r="G45" i="126"/>
  <c r="G10" i="126"/>
  <c r="G7" i="126"/>
  <c r="G9" i="126"/>
  <c r="G47" i="126"/>
  <c r="G6" i="126"/>
  <c r="G18" i="126"/>
  <c r="G37" i="126"/>
  <c r="G15" i="126"/>
  <c r="G5" i="126"/>
  <c r="G23" i="126"/>
  <c r="G25" i="126"/>
  <c r="G33" i="126"/>
  <c r="G39" i="126"/>
  <c r="G49" i="126"/>
  <c r="G41" i="126"/>
  <c r="G13" i="126"/>
  <c r="G34" i="126"/>
  <c r="G14" i="126"/>
  <c r="G22" i="126"/>
  <c r="G48" i="126"/>
  <c r="G28" i="126"/>
  <c r="G40" i="126"/>
  <c r="G8" i="126"/>
  <c r="G12" i="126"/>
  <c r="G24" i="126"/>
  <c r="G46" i="126"/>
  <c r="G43" i="126"/>
  <c r="G21" i="126" l="1"/>
  <c r="G20" i="126" l="1"/>
  <c r="K52" i="126" l="1"/>
  <c r="E52" i="126"/>
  <c r="D52" i="126" l="1"/>
  <c r="F36" i="126" l="1"/>
  <c r="G36" i="126" l="1"/>
  <c r="F52" i="126"/>
  <c r="G52" i="126" l="1"/>
  <c r="E42" i="126" l="1"/>
  <c r="K42" i="126"/>
  <c r="K16" i="126" l="1"/>
  <c r="E16" i="126"/>
  <c r="D42" i="126"/>
  <c r="D16" i="126" l="1"/>
  <c r="F42" i="126" l="1"/>
  <c r="F16" i="126" l="1"/>
  <c r="G42" i="126"/>
  <c r="G16" i="126" l="1"/>
  <c r="C31" i="126" l="1"/>
  <c r="G31" i="126" l="1"/>
  <c r="K11" i="126" l="1"/>
  <c r="C11" i="126"/>
  <c r="D11" i="126" l="1"/>
  <c r="F11" i="126" l="1"/>
  <c r="G11" i="126" l="1"/>
  <c r="K26" i="126" l="1"/>
  <c r="E26" i="126"/>
  <c r="D26" i="126"/>
  <c r="C26" i="126"/>
  <c r="C55" i="126" s="1"/>
  <c r="C57" i="126" l="1"/>
  <c r="F26" i="126" l="1"/>
  <c r="G26" i="126" l="1"/>
  <c r="F44" i="126" l="1"/>
  <c r="G44" i="126" l="1"/>
  <c r="K38" i="126" l="1"/>
  <c r="D38" i="126"/>
  <c r="F38" i="126" l="1"/>
  <c r="G38" i="126" l="1"/>
  <c r="F30" i="126"/>
  <c r="G30" i="126" l="1"/>
  <c r="F17" i="126"/>
  <c r="G17" i="126" l="1"/>
  <c r="D32" i="126" l="1"/>
  <c r="G93" i="60"/>
  <c r="I116" i="60" s="1"/>
  <c r="G122" i="60"/>
  <c r="M116" i="60" l="1"/>
  <c r="L116" i="60"/>
  <c r="K4" i="126"/>
  <c r="F32" i="126"/>
  <c r="E4" i="126"/>
  <c r="K55" i="126" l="1"/>
  <c r="K57" i="126"/>
  <c r="E55" i="126"/>
  <c r="B90" i="6" s="1"/>
  <c r="B66" i="6" s="1"/>
  <c r="E57" i="126"/>
  <c r="D4" i="126"/>
  <c r="G32" i="126"/>
  <c r="B25" i="6"/>
  <c r="D57" i="126" l="1"/>
  <c r="D55" i="126"/>
  <c r="F4" i="126" l="1"/>
  <c r="B60" i="6"/>
  <c r="B59" i="6"/>
  <c r="F57" i="126" l="1"/>
  <c r="F55" i="126"/>
  <c r="C90" i="6" s="1"/>
  <c r="C66" i="6" s="1"/>
  <c r="G4" i="126"/>
  <c r="B54" i="6" l="1"/>
  <c r="D66" i="6"/>
  <c r="B78" i="6"/>
  <c r="G55" i="126"/>
  <c r="B52" i="6"/>
  <c r="B76" i="6"/>
  <c r="G57" i="126"/>
  <c r="C60" i="6"/>
  <c r="C25" i="6"/>
  <c r="D25" i="6"/>
  <c r="E35" i="6"/>
  <c r="H5" i="126"/>
  <c r="I5" i="126" s="1"/>
  <c r="H6" i="126"/>
  <c r="I6" i="126" s="1"/>
  <c r="H7" i="126"/>
  <c r="I7" i="126" s="1"/>
  <c r="H8" i="126"/>
  <c r="I8" i="126" s="1"/>
  <c r="H9" i="126"/>
  <c r="I9" i="126" s="1"/>
  <c r="H10" i="126"/>
  <c r="I10" i="126" s="1"/>
  <c r="H11" i="126"/>
  <c r="I11" i="126" s="1"/>
  <c r="H12" i="126"/>
  <c r="I12" i="126" s="1"/>
  <c r="H13" i="126"/>
  <c r="I13" i="126" s="1"/>
  <c r="H14" i="126"/>
  <c r="I14" i="126" s="1"/>
  <c r="H15" i="126"/>
  <c r="I15" i="126" s="1"/>
  <c r="H16" i="126"/>
  <c r="I16" i="126" s="1"/>
  <c r="H17" i="126"/>
  <c r="I17" i="126" s="1"/>
  <c r="H18" i="126"/>
  <c r="I18" i="126" s="1"/>
  <c r="H19" i="126"/>
  <c r="I19" i="126" s="1"/>
  <c r="H20" i="126"/>
  <c r="I20" i="126" s="1"/>
  <c r="H21" i="126"/>
  <c r="I21" i="126" s="1"/>
  <c r="H22" i="126"/>
  <c r="I22" i="126" s="1"/>
  <c r="H23" i="126"/>
  <c r="I23" i="126" s="1"/>
  <c r="H24" i="126"/>
  <c r="I24" i="126" s="1"/>
  <c r="H25" i="126"/>
  <c r="I25" i="126" s="1"/>
  <c r="H26" i="126"/>
  <c r="I26" i="126" s="1"/>
  <c r="H27" i="126"/>
  <c r="I27" i="126" s="1"/>
  <c r="H28" i="126"/>
  <c r="I28" i="126" s="1"/>
  <c r="H29" i="126"/>
  <c r="I29" i="126" s="1"/>
  <c r="H30" i="126"/>
  <c r="I30" i="126" s="1"/>
  <c r="H31" i="126"/>
  <c r="I31" i="126" s="1"/>
  <c r="H32" i="126"/>
  <c r="I32" i="126" s="1"/>
  <c r="H33" i="126"/>
  <c r="I33" i="126" s="1"/>
  <c r="H34" i="126"/>
  <c r="I34" i="126" s="1"/>
  <c r="H35" i="126"/>
  <c r="I35" i="126" s="1"/>
  <c r="H36" i="126"/>
  <c r="I36" i="126" s="1"/>
  <c r="H37" i="126"/>
  <c r="I37" i="126" s="1"/>
  <c r="H38" i="126"/>
  <c r="I38" i="126" s="1"/>
  <c r="H39" i="126"/>
  <c r="I39" i="126" s="1"/>
  <c r="H40" i="126"/>
  <c r="I40" i="126" s="1"/>
  <c r="I45" i="126"/>
  <c r="I44" i="126"/>
  <c r="I46" i="126"/>
  <c r="I41" i="126"/>
  <c r="I42" i="126"/>
  <c r="I48" i="126"/>
  <c r="I43" i="126"/>
  <c r="I49" i="126"/>
  <c r="C54" i="6" l="1"/>
  <c r="C78" i="6"/>
  <c r="J42" i="126"/>
  <c r="J45" i="126"/>
  <c r="J34" i="126"/>
  <c r="J26" i="126"/>
  <c r="J14" i="126"/>
  <c r="J10" i="126"/>
  <c r="J33" i="126"/>
  <c r="J25" i="126"/>
  <c r="J13" i="126"/>
  <c r="J44" i="126"/>
  <c r="J39" i="126"/>
  <c r="J35" i="126"/>
  <c r="J31" i="126"/>
  <c r="J27" i="126"/>
  <c r="J23" i="126"/>
  <c r="J19" i="126"/>
  <c r="J15" i="126"/>
  <c r="J11" i="126"/>
  <c r="J7" i="126"/>
  <c r="J38" i="126"/>
  <c r="J30" i="126"/>
  <c r="J22" i="126"/>
  <c r="J18" i="126"/>
  <c r="J6" i="126"/>
  <c r="J37" i="126"/>
  <c r="J29" i="126"/>
  <c r="J21" i="126"/>
  <c r="J17" i="126"/>
  <c r="J9" i="126"/>
  <c r="J5" i="126"/>
  <c r="J46" i="126"/>
  <c r="J40" i="126"/>
  <c r="J36" i="126"/>
  <c r="J32" i="126"/>
  <c r="J28" i="126"/>
  <c r="J24" i="126"/>
  <c r="J20" i="126"/>
  <c r="J16" i="126"/>
  <c r="J12" i="126"/>
  <c r="J8" i="126"/>
  <c r="B48" i="6"/>
  <c r="J50" i="126"/>
  <c r="H3" i="126"/>
  <c r="I3" i="126" s="1"/>
  <c r="J49" i="126"/>
  <c r="J41" i="126"/>
  <c r="J48" i="126"/>
  <c r="J43" i="126"/>
  <c r="B72" i="6"/>
  <c r="E25" i="6"/>
  <c r="I47" i="126" l="1"/>
  <c r="J47" i="126" s="1"/>
  <c r="I52" i="126"/>
  <c r="J52" i="126" s="1"/>
  <c r="I51" i="126"/>
  <c r="J51" i="126" s="1"/>
  <c r="D60" i="6"/>
  <c r="C72" i="6" s="1"/>
  <c r="J3" i="126"/>
  <c r="C48" i="6" l="1"/>
  <c r="M83" i="60"/>
  <c r="M99" i="60"/>
  <c r="M57" i="60"/>
  <c r="M103" i="60"/>
  <c r="M102" i="60"/>
  <c r="M100" i="60"/>
  <c r="M101" i="60"/>
  <c r="M19" i="60" l="1"/>
  <c r="M18" i="60"/>
  <c r="M17" i="60"/>
  <c r="M14" i="60"/>
  <c r="M13" i="60"/>
  <c r="M10" i="60"/>
  <c r="M35" i="60"/>
  <c r="M31" i="60"/>
  <c r="M36" i="60"/>
  <c r="M49" i="60"/>
  <c r="M16" i="60"/>
  <c r="G24" i="60" l="1"/>
  <c r="B12" i="5"/>
  <c r="J104" i="60"/>
  <c r="J117" i="60" s="1"/>
  <c r="K104" i="60"/>
  <c r="K117" i="60" s="1"/>
  <c r="H104" i="60"/>
  <c r="H117" i="60" s="1"/>
  <c r="G104" i="60"/>
  <c r="G117" i="60" s="1"/>
  <c r="B11" i="5" s="1"/>
  <c r="K89" i="60"/>
  <c r="K115" i="60" s="1"/>
  <c r="G78" i="60"/>
  <c r="G114" i="60" s="1"/>
  <c r="B9" i="5" s="1"/>
  <c r="H60" i="60"/>
  <c r="H113" i="60" s="1"/>
  <c r="G60" i="60"/>
  <c r="G113" i="60" s="1"/>
  <c r="B8" i="5" s="1"/>
  <c r="H51" i="60"/>
  <c r="H112" i="60" s="1"/>
  <c r="G51" i="60"/>
  <c r="G112" i="60" s="1"/>
  <c r="B7" i="5" s="1"/>
  <c r="K111" i="60"/>
  <c r="J111" i="60"/>
  <c r="I111" i="60"/>
  <c r="H111" i="60"/>
  <c r="G111" i="60"/>
  <c r="B6" i="5" s="1"/>
  <c r="G118" i="60" l="1"/>
  <c r="B3" i="5"/>
  <c r="C12" i="5"/>
  <c r="K60" i="60"/>
  <c r="K113" i="60" s="1"/>
  <c r="K51" i="60"/>
  <c r="K112" i="60" s="1"/>
  <c r="C8" i="5"/>
  <c r="C7" i="5"/>
  <c r="C11" i="5"/>
  <c r="C6" i="5"/>
  <c r="G109" i="60"/>
  <c r="B4" i="5" s="1"/>
  <c r="G110" i="60"/>
  <c r="B5" i="5" s="1"/>
  <c r="J118" i="60"/>
  <c r="M111" i="60"/>
  <c r="L111" i="60"/>
  <c r="D6" i="5" s="1"/>
  <c r="F6" i="5" s="1"/>
  <c r="M104" i="60"/>
  <c r="L104" i="60"/>
  <c r="I104" i="60"/>
  <c r="I117" i="60" s="1"/>
  <c r="J60" i="60" l="1"/>
  <c r="J113" i="60" s="1"/>
  <c r="M117" i="60"/>
  <c r="L117" i="60"/>
  <c r="D11" i="5" s="1"/>
  <c r="F11" i="5" s="1"/>
  <c r="M12" i="60" l="1"/>
  <c r="K118" i="60" l="1"/>
  <c r="J38" i="60" l="1"/>
  <c r="J110" i="60" l="1"/>
  <c r="B22" i="6" l="1"/>
  <c r="C22" i="6"/>
  <c r="D22" i="6"/>
  <c r="B23" i="6"/>
  <c r="C23" i="6"/>
  <c r="D23" i="6"/>
  <c r="B24" i="6"/>
  <c r="C24" i="6"/>
  <c r="D24" i="6"/>
  <c r="E32" i="6"/>
  <c r="E33" i="6"/>
  <c r="E34" i="6"/>
  <c r="B57" i="6"/>
  <c r="C57" i="6"/>
  <c r="B58" i="6"/>
  <c r="C58" i="6"/>
  <c r="C59" i="6"/>
  <c r="B46" i="6" l="1"/>
  <c r="B45" i="6"/>
  <c r="B47" i="6"/>
  <c r="E23" i="6"/>
  <c r="D58" i="6" s="1"/>
  <c r="B69" i="6"/>
  <c r="B71" i="6"/>
  <c r="B70" i="6"/>
  <c r="E24" i="6"/>
  <c r="D59" i="6" s="1"/>
  <c r="E22" i="6"/>
  <c r="D57" i="6" s="1"/>
  <c r="C71" i="6" l="1"/>
  <c r="C45" i="6"/>
  <c r="C69" i="6"/>
  <c r="C46" i="6"/>
  <c r="C70" i="6"/>
  <c r="H118" i="60"/>
  <c r="C47" i="6"/>
  <c r="H38" i="60" l="1"/>
  <c r="H110" i="60" s="1"/>
  <c r="C5" i="5" s="1"/>
  <c r="H24" i="60"/>
  <c r="H109" i="60" s="1"/>
  <c r="C4" i="5" s="1"/>
  <c r="C3" i="5"/>
  <c r="M20" i="60" l="1"/>
  <c r="H89" i="60" l="1"/>
  <c r="H115" i="60" s="1"/>
  <c r="C10" i="5" s="1"/>
  <c r="M22" i="60"/>
  <c r="M21" i="60"/>
  <c r="K78" i="60"/>
  <c r="K114" i="60" s="1"/>
  <c r="D12" i="5"/>
  <c r="F12" i="5" s="1"/>
  <c r="M76" i="60" l="1"/>
  <c r="M75" i="60"/>
  <c r="M87" i="60"/>
  <c r="I118" i="60" l="1"/>
  <c r="K24" i="60"/>
  <c r="K109" i="60" s="1"/>
  <c r="H78" i="60"/>
  <c r="H114" i="60" s="1"/>
  <c r="H120" i="60" s="1"/>
  <c r="I24" i="60"/>
  <c r="I109" i="60" s="1"/>
  <c r="G89" i="60" l="1"/>
  <c r="G115" i="60" s="1"/>
  <c r="G120" i="60" s="1"/>
  <c r="M109" i="60"/>
  <c r="I51" i="60"/>
  <c r="I112" i="60" s="1"/>
  <c r="M112" i="60" s="1"/>
  <c r="K38" i="60"/>
  <c r="K110" i="60" s="1"/>
  <c r="K120" i="60" s="1"/>
  <c r="C9" i="5"/>
  <c r="C13" i="5" s="1"/>
  <c r="M118" i="60"/>
  <c r="L118" i="60"/>
  <c r="D3" i="5" s="1"/>
  <c r="M58" i="60"/>
  <c r="I78" i="60"/>
  <c r="M34" i="60"/>
  <c r="J24" i="60"/>
  <c r="J109" i="60" s="1"/>
  <c r="L109" i="60" s="1"/>
  <c r="I38" i="60"/>
  <c r="I110" i="60" s="1"/>
  <c r="M33" i="60"/>
  <c r="I60" i="60"/>
  <c r="I113" i="60" s="1"/>
  <c r="M32" i="60"/>
  <c r="I89" i="60"/>
  <c r="I115" i="60" s="1"/>
  <c r="M56" i="60"/>
  <c r="I114" i="60" l="1"/>
  <c r="I120" i="60" s="1"/>
  <c r="B10" i="5"/>
  <c r="B13" i="5" s="1"/>
  <c r="M115" i="60"/>
  <c r="D4" i="5"/>
  <c r="F4" i="5" s="1"/>
  <c r="J51" i="60"/>
  <c r="J112" i="60" s="1"/>
  <c r="L112" i="60" s="1"/>
  <c r="D7" i="5" s="1"/>
  <c r="F7" i="5" s="1"/>
  <c r="J78" i="60"/>
  <c r="J114" i="60" s="1"/>
  <c r="M110" i="60"/>
  <c r="L110" i="60"/>
  <c r="D5" i="5" s="1"/>
  <c r="F5" i="5" s="1"/>
  <c r="M86" i="60"/>
  <c r="M74" i="60"/>
  <c r="J89" i="60"/>
  <c r="J115" i="60" s="1"/>
  <c r="L115" i="60" s="1"/>
  <c r="D10" i="5" s="1"/>
  <c r="M69" i="60"/>
  <c r="M67" i="60"/>
  <c r="M30" i="60"/>
  <c r="M48" i="60"/>
  <c r="M68" i="60"/>
  <c r="M113" i="60"/>
  <c r="L113" i="60"/>
  <c r="D8" i="5" s="1"/>
  <c r="M70" i="60"/>
  <c r="M29" i="60"/>
  <c r="M71" i="60"/>
  <c r="M73" i="60"/>
  <c r="M114" i="60" l="1"/>
  <c r="M120" i="60" s="1"/>
  <c r="G126" i="60" s="1"/>
  <c r="F3" i="5"/>
  <c r="L114" i="60"/>
  <c r="D9" i="5" s="1"/>
  <c r="D13" i="5" s="1"/>
  <c r="F10" i="5"/>
  <c r="M84" i="60"/>
  <c r="J120" i="60"/>
  <c r="M15" i="60"/>
  <c r="L24" i="60"/>
  <c r="M24" i="60" s="1"/>
  <c r="L38" i="60"/>
  <c r="M38" i="60" s="1"/>
  <c r="M47" i="60"/>
  <c r="M51" i="60" s="1"/>
  <c r="L51" i="60"/>
  <c r="M55" i="60"/>
  <c r="M60" i="60" s="1"/>
  <c r="L60" i="60"/>
  <c r="F8" i="5"/>
  <c r="M85" i="60"/>
  <c r="M66" i="60"/>
  <c r="M78" i="60" s="1"/>
  <c r="L78" i="60"/>
  <c r="F9" i="5" l="1"/>
  <c r="L120" i="60"/>
  <c r="E12" i="5"/>
  <c r="B3" i="6" s="1"/>
  <c r="E8" i="5"/>
  <c r="B9" i="6" s="1"/>
  <c r="E9" i="5"/>
  <c r="B8" i="6" s="1"/>
  <c r="E11" i="5"/>
  <c r="E5" i="5"/>
  <c r="B5" i="6" s="1"/>
  <c r="E4" i="5"/>
  <c r="B6" i="6" s="1"/>
  <c r="L89" i="60"/>
  <c r="M89" i="60"/>
  <c r="G124" i="60" l="1"/>
  <c r="E7" i="5"/>
  <c r="B10" i="6" s="1"/>
  <c r="E10" i="5"/>
  <c r="B11" i="6" s="1"/>
  <c r="E6" i="5"/>
  <c r="B4" i="6" s="1"/>
  <c r="E3" i="5"/>
  <c r="E13" i="5" l="1"/>
  <c r="B7" i="6"/>
  <c r="B12" i="6" s="1"/>
  <c r="F13" i="5"/>
  <c r="G5" i="5" l="1"/>
  <c r="C5" i="6" s="1"/>
  <c r="G11" i="5" l="1"/>
  <c r="G9" i="5"/>
  <c r="C8" i="6" s="1"/>
  <c r="G6" i="5"/>
  <c r="C4" i="6" s="1"/>
  <c r="G3" i="5"/>
  <c r="G8" i="5"/>
  <c r="C9" i="6" s="1"/>
  <c r="G4" i="5"/>
  <c r="C6" i="6" s="1"/>
  <c r="G12" i="5"/>
  <c r="C3" i="6" s="1"/>
  <c r="G10" i="5"/>
  <c r="C11" i="6" s="1"/>
  <c r="G7" i="5"/>
  <c r="C10" i="6" s="1"/>
  <c r="G13" i="5" l="1"/>
  <c r="E29" i="6"/>
  <c r="D64" i="6" s="1"/>
  <c r="C52" i="6" s="1"/>
  <c r="E41" i="6"/>
  <c r="H4" i="126"/>
  <c r="I4" i="126" s="1"/>
  <c r="C7" i="6"/>
  <c r="C12" i="6" s="1"/>
  <c r="H55" i="126" l="1"/>
  <c r="C76" i="6"/>
  <c r="I55" i="126" l="1"/>
  <c r="J55" i="126" s="1"/>
  <c r="J4" i="126"/>
  <c r="I57" i="1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Camesha Spence</author>
  </authors>
  <commentList>
    <comment ref="G40" authorId="0" shapeId="0" xr:uid="{2B07EB6B-885E-45CD-AE84-56924E5AA5DD}">
      <text>
        <r>
          <rPr>
            <b/>
            <sz val="9"/>
            <color indexed="81"/>
            <rFont val="Tahoma"/>
            <family val="2"/>
          </rPr>
          <t>Camesha Spence:</t>
        </r>
        <r>
          <rPr>
            <sz val="9"/>
            <color indexed="81"/>
            <rFont val="Tahoma"/>
            <family val="2"/>
          </rPr>
          <t xml:space="preserve">
Total of 3 students
</t>
        </r>
      </text>
    </comment>
  </commentList>
</comments>
</file>

<file path=xl/sharedStrings.xml><?xml version="1.0" encoding="utf-8"?>
<sst xmlns="http://schemas.openxmlformats.org/spreadsheetml/2006/main" count="14641" uniqueCount="858">
  <si>
    <t>GENERAL INFORMATION</t>
  </si>
  <si>
    <t>Contact Person:</t>
  </si>
  <si>
    <t>Contact Number:</t>
  </si>
  <si>
    <t>HSCRC Hospital ID #:</t>
  </si>
  <si>
    <t># of Employees:</t>
  </si>
  <si>
    <t>Screenings</t>
  </si>
  <si>
    <t>Support Groups</t>
  </si>
  <si>
    <t>TOTAL</t>
  </si>
  <si>
    <t>COMMUNITY BENEFIT ACTIVITES</t>
  </si>
  <si>
    <t># OF STAFF HOURS</t>
  </si>
  <si>
    <t>Scholarships/Funding for Professional Education</t>
  </si>
  <si>
    <t>Other Health Professionals</t>
  </si>
  <si>
    <t>RESEARCH</t>
  </si>
  <si>
    <t>In-Kind Donations</t>
  </si>
  <si>
    <t>Economic Development</t>
  </si>
  <si>
    <t>FINANCIAL DATA</t>
  </si>
  <si>
    <t>OPERATING REVENUE</t>
  </si>
  <si>
    <t>Net Patient Service Revenue</t>
  </si>
  <si>
    <t>Other Revenue</t>
  </si>
  <si>
    <t>Total Revenue</t>
  </si>
  <si>
    <t>NET REVENUE (LOSS) FROM OPERATIONS</t>
  </si>
  <si>
    <t>NON-OPERATING GAINS (LOSSES)</t>
  </si>
  <si>
    <t>NET REVENUE (LOSS)</t>
  </si>
  <si>
    <t>FOUNDATION COMMUNITY BENEFIT</t>
  </si>
  <si>
    <t>Community Services</t>
  </si>
  <si>
    <t>Community Building</t>
  </si>
  <si>
    <t>TOTAL HOSPITAL COMMUNITY BENEFIT</t>
  </si>
  <si>
    <t>TOTAL FOUNDATION COMMUNITY BENEFIT</t>
  </si>
  <si>
    <t>% OF OPERATING EXPENSES</t>
  </si>
  <si>
    <t>DIRECT COST($)</t>
  </si>
  <si>
    <t>INDIRECT COST($)</t>
  </si>
  <si>
    <t>Physicians/Medical Students</t>
  </si>
  <si>
    <t>Contact Email:</t>
  </si>
  <si>
    <t>OFFSETTING REVENUE($)</t>
  </si>
  <si>
    <t>NET COMMUNITY BENEFIT</t>
  </si>
  <si>
    <t>INDIRECT COST RATIO</t>
  </si>
  <si>
    <t>TOTAL OPERATING EXPENSES</t>
  </si>
  <si>
    <t># OF ENCOUNTERS</t>
  </si>
  <si>
    <t>MISSION DRIVEN HEALTH SERVICES (please list)</t>
  </si>
  <si>
    <t>CHARITY CARE (report total only)</t>
  </si>
  <si>
    <t>Hospital Name:</t>
  </si>
  <si>
    <t>COMMUNITY HEALTH SERVICES</t>
  </si>
  <si>
    <t>Community Health Education</t>
  </si>
  <si>
    <t>Self-Help</t>
  </si>
  <si>
    <t>Community-Based Clinical Services</t>
  </si>
  <si>
    <t>One-Time/Occasionally Held Clinics</t>
  </si>
  <si>
    <t>Free Clinics</t>
  </si>
  <si>
    <t>Mobile Units</t>
  </si>
  <si>
    <t>Health Care Support Services</t>
  </si>
  <si>
    <t>HEALTH PROFESSIONS EDUCATION</t>
  </si>
  <si>
    <t>Nurses/Nursing Students</t>
  </si>
  <si>
    <t>C10</t>
  </si>
  <si>
    <t>Clinical Research</t>
  </si>
  <si>
    <t>Community Health Research</t>
  </si>
  <si>
    <t>Cash Donations</t>
  </si>
  <si>
    <t>Grants</t>
  </si>
  <si>
    <t>Cost of Fund Raising for Community Programs</t>
  </si>
  <si>
    <t>COMMUNITY BUILDING ACTIVITIES</t>
  </si>
  <si>
    <t>Environmental Improvements</t>
  </si>
  <si>
    <t>Leadership Development/Training for Community Members</t>
  </si>
  <si>
    <t>Coalition Building</t>
  </si>
  <si>
    <t>Community Benefit Operations</t>
  </si>
  <si>
    <t>Community health/health assets assessments</t>
  </si>
  <si>
    <t>COMMUNITY BENEFIT OPERATIONS</t>
  </si>
  <si>
    <t>Community Health Services</t>
  </si>
  <si>
    <t>Health Professions Education</t>
  </si>
  <si>
    <t>Mission Driven Health Care Services</t>
  </si>
  <si>
    <t>Research</t>
  </si>
  <si>
    <t>Financial Contributions</t>
  </si>
  <si>
    <t>Community Building Activities</t>
  </si>
  <si>
    <t>Charity Care</t>
  </si>
  <si>
    <t>Foundation Funded Community Benefit</t>
  </si>
  <si>
    <t>% of NET REVENUE</t>
  </si>
  <si>
    <t>N/A</t>
  </si>
  <si>
    <t>A00.</t>
  </si>
  <si>
    <t>A10</t>
  </si>
  <si>
    <t>A11</t>
  </si>
  <si>
    <t>A12</t>
  </si>
  <si>
    <t>A20</t>
  </si>
  <si>
    <t>A21</t>
  </si>
  <si>
    <t>A22</t>
  </si>
  <si>
    <t>A23</t>
  </si>
  <si>
    <t>A24</t>
  </si>
  <si>
    <t>A30</t>
  </si>
  <si>
    <t>A40</t>
  </si>
  <si>
    <t xml:space="preserve"> </t>
  </si>
  <si>
    <t>B00</t>
  </si>
  <si>
    <t>B10</t>
  </si>
  <si>
    <t>B20</t>
  </si>
  <si>
    <t>B30</t>
  </si>
  <si>
    <t>B40</t>
  </si>
  <si>
    <t>B50</t>
  </si>
  <si>
    <t>C00</t>
  </si>
  <si>
    <t>C20</t>
  </si>
  <si>
    <t>C30</t>
  </si>
  <si>
    <t>C40</t>
  </si>
  <si>
    <t>C50</t>
  </si>
  <si>
    <t>C60</t>
  </si>
  <si>
    <t>C70</t>
  </si>
  <si>
    <t>C80</t>
  </si>
  <si>
    <t>C90</t>
  </si>
  <si>
    <t>C91</t>
  </si>
  <si>
    <t>D00</t>
  </si>
  <si>
    <t>D10</t>
  </si>
  <si>
    <t>D20</t>
  </si>
  <si>
    <t>E00</t>
  </si>
  <si>
    <t>Cash and In-Kind Contributions</t>
  </si>
  <si>
    <t>E10</t>
  </si>
  <si>
    <t>E20</t>
  </si>
  <si>
    <t>E30</t>
  </si>
  <si>
    <t>E40</t>
  </si>
  <si>
    <t>F00</t>
  </si>
  <si>
    <t>F10</t>
  </si>
  <si>
    <t>Physical Improvements and Housing</t>
  </si>
  <si>
    <t>F20</t>
  </si>
  <si>
    <t>F30</t>
  </si>
  <si>
    <t>Community Support</t>
  </si>
  <si>
    <t>F40</t>
  </si>
  <si>
    <t>F50</t>
  </si>
  <si>
    <t>F60</t>
  </si>
  <si>
    <t>F70</t>
  </si>
  <si>
    <t>Advocacy for Community Health Improvements</t>
  </si>
  <si>
    <t>F80</t>
  </si>
  <si>
    <t>Workforce Development</t>
  </si>
  <si>
    <t>F90</t>
  </si>
  <si>
    <t>F91</t>
  </si>
  <si>
    <t>F92</t>
  </si>
  <si>
    <t>G31</t>
  </si>
  <si>
    <t>G30</t>
  </si>
  <si>
    <t>G32</t>
  </si>
  <si>
    <t>G00</t>
  </si>
  <si>
    <t>G10</t>
  </si>
  <si>
    <t>G20</t>
  </si>
  <si>
    <t>A41</t>
  </si>
  <si>
    <t>A42</t>
  </si>
  <si>
    <t>A43</t>
  </si>
  <si>
    <t>A44</t>
  </si>
  <si>
    <t>A99</t>
  </si>
  <si>
    <t>Total Community Health Services</t>
  </si>
  <si>
    <t>B51</t>
  </si>
  <si>
    <t>B52</t>
  </si>
  <si>
    <t>B53</t>
  </si>
  <si>
    <t>B99</t>
  </si>
  <si>
    <t>Total Health Professions Education</t>
  </si>
  <si>
    <t>C99</t>
  </si>
  <si>
    <t>Total Mission Driven Health Services</t>
  </si>
  <si>
    <t>D99</t>
  </si>
  <si>
    <t>Total Research</t>
  </si>
  <si>
    <t>E99</t>
  </si>
  <si>
    <t>Total Cash and In-Kind Contributions</t>
  </si>
  <si>
    <t>F99</t>
  </si>
  <si>
    <t>Total Community Building Activities</t>
  </si>
  <si>
    <t>Assigned Staff</t>
  </si>
  <si>
    <t>G99</t>
  </si>
  <si>
    <t>Total Community Benefit Operations</t>
  </si>
  <si>
    <t>H99</t>
  </si>
  <si>
    <t>H00</t>
  </si>
  <si>
    <t>J00</t>
  </si>
  <si>
    <t>J10</t>
  </si>
  <si>
    <t>J20</t>
  </si>
  <si>
    <t>J30</t>
  </si>
  <si>
    <t>J31</t>
  </si>
  <si>
    <t>J32</t>
  </si>
  <si>
    <t>J99</t>
  </si>
  <si>
    <t>Total Charity Care</t>
  </si>
  <si>
    <t>K99</t>
  </si>
  <si>
    <t>K00</t>
  </si>
  <si>
    <t>S99</t>
  </si>
  <si>
    <t>U99</t>
  </si>
  <si>
    <t>V99</t>
  </si>
  <si>
    <t>I00</t>
  </si>
  <si>
    <t>I10</t>
  </si>
  <si>
    <t>I20</t>
  </si>
  <si>
    <t>I30</t>
  </si>
  <si>
    <t>I40</t>
  </si>
  <si>
    <t>I50</t>
  </si>
  <si>
    <t>I60</t>
  </si>
  <si>
    <t>I70</t>
  </si>
  <si>
    <t>D30</t>
  </si>
  <si>
    <t>D31</t>
  </si>
  <si>
    <t>D32</t>
  </si>
  <si>
    <t>UNREIMBURSED MEDICAID COST</t>
  </si>
  <si>
    <t>Medicaid Costs</t>
  </si>
  <si>
    <t>Medicaid Assessments</t>
  </si>
  <si>
    <t>T00</t>
  </si>
  <si>
    <t>T99</t>
  </si>
  <si>
    <t>Medicaid Assesments</t>
  </si>
  <si>
    <t>Hospital Based Physicians</t>
  </si>
  <si>
    <t>Non-Residential House Staff and Hospitalists</t>
  </si>
  <si>
    <t>Recruitment of Physicians to Meet Community Needs</t>
  </si>
  <si>
    <t>Immunizations</t>
  </si>
  <si>
    <t>Meritus Medical Center</t>
  </si>
  <si>
    <t>Total</t>
  </si>
  <si>
    <t>Hospital</t>
  </si>
  <si>
    <t>Hospital Name</t>
  </si>
  <si>
    <t>Levindale</t>
  </si>
  <si>
    <t>Sheppard Pratt</t>
  </si>
  <si>
    <t>DME</t>
  </si>
  <si>
    <t>Community Benefit Category</t>
  </si>
  <si>
    <t>Number of Staff Hours</t>
  </si>
  <si>
    <t>Number of Encounters</t>
  </si>
  <si>
    <t>Net Community Benefit Expense</t>
  </si>
  <si>
    <t>Percent of Total CB Expenditures</t>
  </si>
  <si>
    <t>Net Community Benefit Expense Less: Rate Support</t>
  </si>
  <si>
    <t>Percent of Total CB Expenditures w/o Rate Support</t>
  </si>
  <si>
    <t>Unreimbursed Medicaid Cost</t>
  </si>
  <si>
    <t>Health Professions Education *</t>
  </si>
  <si>
    <t>Mission Driven Health Services</t>
  </si>
  <si>
    <t>Foundation</t>
  </si>
  <si>
    <t>% of Operating Expense</t>
  </si>
  <si>
    <t>Fiscal Year</t>
  </si>
  <si>
    <t>Net Community Benefit</t>
  </si>
  <si>
    <t>Offsetting Revenue</t>
  </si>
  <si>
    <t>Total Operating Expenses</t>
  </si>
  <si>
    <t>CB Expense Less Rate Support</t>
  </si>
  <si>
    <t>CB Expense</t>
  </si>
  <si>
    <t>NSP (1)</t>
  </si>
  <si>
    <t>Category</t>
  </si>
  <si>
    <t>Total Hospital Operating Expense</t>
  </si>
  <si>
    <t>Total CB as % of Total Operating Expense</t>
  </si>
  <si>
    <t>Total Net CB(minus charity Care, DME, NSPI in Rates) as % of Operating Expense</t>
  </si>
  <si>
    <t>CB Reported Charity Care</t>
  </si>
  <si>
    <t>Totals</t>
  </si>
  <si>
    <t>Holy Cross Hospital</t>
  </si>
  <si>
    <t>Suburban Hospital</t>
  </si>
  <si>
    <t>Johns Hopkins Bayview Medical Center</t>
  </si>
  <si>
    <t>Union Hospital of Cecil County</t>
  </si>
  <si>
    <t>MedStar Harbor Hospital</t>
  </si>
  <si>
    <t>Fort Washington Medical Center</t>
  </si>
  <si>
    <t>Other</t>
  </si>
  <si>
    <t>Pathways</t>
  </si>
  <si>
    <t>Atlantic General Hospital</t>
  </si>
  <si>
    <t>Bruce Todd</t>
  </si>
  <si>
    <t>mtodd@atlanticgeneral.org</t>
  </si>
  <si>
    <t>B1</t>
  </si>
  <si>
    <t>B2</t>
  </si>
  <si>
    <t>B3</t>
  </si>
  <si>
    <t>B4</t>
  </si>
  <si>
    <t>D1</t>
  </si>
  <si>
    <t>D2</t>
  </si>
  <si>
    <t>E1</t>
  </si>
  <si>
    <t>E2</t>
  </si>
  <si>
    <t>E3</t>
  </si>
  <si>
    <t>E4</t>
  </si>
  <si>
    <t>F1</t>
  </si>
  <si>
    <t>F2</t>
  </si>
  <si>
    <t>F3</t>
  </si>
  <si>
    <t>F4</t>
  </si>
  <si>
    <t>F5</t>
  </si>
  <si>
    <t>F6</t>
  </si>
  <si>
    <t>F7</t>
  </si>
  <si>
    <t>F8</t>
  </si>
  <si>
    <t>G1</t>
  </si>
  <si>
    <t>G2</t>
  </si>
  <si>
    <t>J1</t>
  </si>
  <si>
    <t>J2</t>
  </si>
  <si>
    <t>21-0033</t>
  </si>
  <si>
    <t>410-871-7251</t>
  </si>
  <si>
    <t>Interpreter Services</t>
  </si>
  <si>
    <t>Forensic Nurse Examiner Program</t>
  </si>
  <si>
    <t>Job Shadow</t>
  </si>
  <si>
    <t>Physician Support</t>
  </si>
  <si>
    <t>Physician Recruitment</t>
  </si>
  <si>
    <t>301-754-7149</t>
  </si>
  <si>
    <t>mcbrik@holycrosshealth.org</t>
  </si>
  <si>
    <t>Howard County General Hospital</t>
  </si>
  <si>
    <t>21-0048</t>
  </si>
  <si>
    <t>Fran Moll</t>
  </si>
  <si>
    <t>443-997-0627</t>
  </si>
  <si>
    <t>fmoll1@jhmi.edu</t>
  </si>
  <si>
    <t>0029</t>
  </si>
  <si>
    <t>Patricia Carroll or Kim Moeller</t>
  </si>
  <si>
    <t>410-550-0289 or 443-997-0639</t>
  </si>
  <si>
    <t>pcarroll@jhmi.edu or kmoelle@jhmi.edu</t>
  </si>
  <si>
    <t xml:space="preserve">Trauma on-call </t>
  </si>
  <si>
    <t>Emergency Medicine on-call</t>
  </si>
  <si>
    <t>Teaching Community Education</t>
  </si>
  <si>
    <t>Health Education &amp; Social Services</t>
  </si>
  <si>
    <t>Other On-call Coverage</t>
  </si>
  <si>
    <t>Health Leads</t>
  </si>
  <si>
    <t>Cancer Registry</t>
  </si>
  <si>
    <t>The Johns Hopkins Hospital</t>
  </si>
  <si>
    <t>0009</t>
  </si>
  <si>
    <t>Sharon Tiebert-Maddox</t>
  </si>
  <si>
    <t>tiebert@jhu.edu</t>
  </si>
  <si>
    <t>Communiity Health Services - Other</t>
  </si>
  <si>
    <t>Health Professions  Education - Other</t>
  </si>
  <si>
    <t>Broadway Center IOP/OP Grant</t>
  </si>
  <si>
    <t>Eating Disorders Day Hospital Supportive Housing</t>
  </si>
  <si>
    <t>Mission Driven - Other</t>
  </si>
  <si>
    <t>Community Building Activities - Other</t>
  </si>
  <si>
    <t>Office Expense</t>
  </si>
  <si>
    <t>Julie Sessa</t>
  </si>
  <si>
    <t>410-601-7238</t>
  </si>
  <si>
    <t>jsessa@lifebridgehealth.org</t>
  </si>
  <si>
    <t>Emergency and Trauma Services</t>
  </si>
  <si>
    <t>Hospital Outpatient Services</t>
  </si>
  <si>
    <t>Women's and Children's Services</t>
  </si>
  <si>
    <t>Other Resources</t>
  </si>
  <si>
    <t>G3</t>
  </si>
  <si>
    <t>D3</t>
  </si>
  <si>
    <t>F9</t>
  </si>
  <si>
    <t>G4</t>
  </si>
  <si>
    <t>G5</t>
  </si>
  <si>
    <t>Subsidized Continuing Care</t>
  </si>
  <si>
    <t>#0008</t>
  </si>
  <si>
    <t>jdeibel@mdmercy.com</t>
  </si>
  <si>
    <t>Physician Charity Care</t>
  </si>
  <si>
    <t>Healthcare for the Homeless</t>
  </si>
  <si>
    <t>The Medication Assistance Center</t>
  </si>
  <si>
    <t>Mt. Washington Pediatric Hospital</t>
  </si>
  <si>
    <t>Weigh Smart Childhood Obesity Program</t>
  </si>
  <si>
    <t>Anesthesia</t>
  </si>
  <si>
    <t>Hospitalists</t>
  </si>
  <si>
    <t>Trauma On-Call</t>
  </si>
  <si>
    <t>West Baltimore Care (Health Enterprise Zone)</t>
  </si>
  <si>
    <t>Morrell Park</t>
  </si>
  <si>
    <t>Community Care Center</t>
  </si>
  <si>
    <t>Physician Emergency Department Indigent Care Subsidies</t>
  </si>
  <si>
    <t>Telepsychiatry</t>
  </si>
  <si>
    <t>Physician Subsidies</t>
  </si>
  <si>
    <t>Shore Regional Health Chester River</t>
  </si>
  <si>
    <t>Primary Care</t>
  </si>
  <si>
    <t>21-0022</t>
  </si>
  <si>
    <t>Monique Sanfuentes</t>
  </si>
  <si>
    <t>301-896-3572</t>
  </si>
  <si>
    <t>Readmissions Prevention Program</t>
  </si>
  <si>
    <t>University of Maryland St. Joseph Medical Center</t>
  </si>
  <si>
    <t>Specialty Care</t>
  </si>
  <si>
    <t>Emergency Dept</t>
  </si>
  <si>
    <t>Mental Health</t>
  </si>
  <si>
    <t>OB/GYN</t>
  </si>
  <si>
    <t>Lab</t>
  </si>
  <si>
    <t>Non-Resident House Staff</t>
  </si>
  <si>
    <t>UNIVERSITY OF MARYLAND MEDICAL CENTER</t>
  </si>
  <si>
    <t>0002, 8992, 8994</t>
  </si>
  <si>
    <t>ALICIA CUNNINGHAM</t>
  </si>
  <si>
    <t>410-328-1380</t>
  </si>
  <si>
    <t>ACUNNINGHAM@UMM.EDU</t>
  </si>
  <si>
    <t>UNIVERSITY CARE COMMUNITY CLINICS/UCARE</t>
  </si>
  <si>
    <t>COMMUNITY OUTPATIENT PSYCHIATRIC CLINICS</t>
  </si>
  <si>
    <t>Palliative Care</t>
  </si>
  <si>
    <t>240-964-8032</t>
  </si>
  <si>
    <t>Obstetric Physician Practice</t>
  </si>
  <si>
    <t>Primary Care Physician Practices</t>
  </si>
  <si>
    <t>Outpatient Dialysis and Peritoneal Dialysis</t>
  </si>
  <si>
    <t>Net Community Benefit W/Indirect Cost</t>
  </si>
  <si>
    <t>Net Community Benefit W/O Indirect Cost</t>
  </si>
  <si>
    <t>Direct Cost ($)</t>
  </si>
  <si>
    <t>Indirect Cost ($)</t>
  </si>
  <si>
    <t>B.</t>
  </si>
  <si>
    <t>C.</t>
  </si>
  <si>
    <t>MISSION DRIVEN HEALTH SERVICES</t>
  </si>
  <si>
    <t>D.</t>
  </si>
  <si>
    <t>E.</t>
  </si>
  <si>
    <t>F.</t>
  </si>
  <si>
    <t>Physical Improvements/Housing</t>
  </si>
  <si>
    <t>Support System Enhancements</t>
  </si>
  <si>
    <t>Community Health Improvement Advocacy</t>
  </si>
  <si>
    <t>Workforce Enhancement</t>
  </si>
  <si>
    <t>F11</t>
  </si>
  <si>
    <t>G.</t>
  </si>
  <si>
    <t>Dedicated Staff</t>
  </si>
  <si>
    <t>H.</t>
  </si>
  <si>
    <t>J.</t>
  </si>
  <si>
    <t>K</t>
  </si>
  <si>
    <t>A</t>
  </si>
  <si>
    <t>B</t>
  </si>
  <si>
    <t>C</t>
  </si>
  <si>
    <t>D</t>
  </si>
  <si>
    <t>E</t>
  </si>
  <si>
    <t>F</t>
  </si>
  <si>
    <t>G</t>
  </si>
  <si>
    <t>H</t>
  </si>
  <si>
    <t>J</t>
  </si>
  <si>
    <t>TOTAL OPERATING EXPENSE</t>
  </si>
  <si>
    <t>% OF OPERATING EXPENSES W/IC</t>
  </si>
  <si>
    <t>% OF OPERATING EXPENSES W/O IC</t>
  </si>
  <si>
    <t>J3</t>
  </si>
  <si>
    <t>J4</t>
  </si>
  <si>
    <t>J5</t>
  </si>
  <si>
    <t>Total Rate Support</t>
  </si>
  <si>
    <t>Total operating Expense</t>
  </si>
  <si>
    <t>* Rate supported expenditures</t>
  </si>
  <si>
    <t>Net Benefit less rate support</t>
  </si>
  <si>
    <t>Charts based on All Hospitals</t>
  </si>
  <si>
    <t>allen.twigg@meritushealth.com</t>
  </si>
  <si>
    <t>301-790-8263</t>
  </si>
  <si>
    <t>Mid-Level Providers</t>
  </si>
  <si>
    <t>443 643-3346</t>
  </si>
  <si>
    <t>UMD Harford Memorial Hospital Anesthesiology Physician subsidies</t>
  </si>
  <si>
    <t>Saint Agnes</t>
  </si>
  <si>
    <t>Mitch Lomax</t>
  </si>
  <si>
    <t>MedStar Franklin Square Medical Center</t>
  </si>
  <si>
    <t>GARRETT REGIONAL MEDICAL CENTER</t>
  </si>
  <si>
    <t xml:space="preserve">MedStar Montgomery Medical Center </t>
  </si>
  <si>
    <t>Peninsula Regional Medical Center</t>
  </si>
  <si>
    <t>MedStar Union Memorial Hospital</t>
  </si>
  <si>
    <t>Women and Children</t>
  </si>
  <si>
    <t>Behavioral Health</t>
  </si>
  <si>
    <t>ACHI and CBISA</t>
  </si>
  <si>
    <t>Carroll Hospital</t>
  </si>
  <si>
    <t>Behavorial Health Services</t>
  </si>
  <si>
    <t>MedStar Good Samaritan Hospital</t>
  </si>
  <si>
    <t>Levindale Hebrew and Geriatric Center and Hospital</t>
  </si>
  <si>
    <t>Enrollment for Entitlements</t>
  </si>
  <si>
    <t>Free Transportation for Clinical Services</t>
  </si>
  <si>
    <t>Free Discharge Medications</t>
  </si>
  <si>
    <t>Professional Education</t>
  </si>
  <si>
    <t>Crisis Referral Outpatient Program</t>
  </si>
  <si>
    <t>Holy Cross Germantown Hospital</t>
  </si>
  <si>
    <t>NSP I</t>
  </si>
  <si>
    <t>Charity Care*</t>
  </si>
  <si>
    <t>All Hospitals</t>
  </si>
  <si>
    <t>Prescription Pharmacy Programs</t>
  </si>
  <si>
    <t>21-00005</t>
  </si>
  <si>
    <t>PHYSICIAN HOSPITALIST</t>
  </si>
  <si>
    <t>PHYSICIAN ED/SURGEON CALL</t>
  </si>
  <si>
    <t>PHYSICIAN ANESTHESIA CALL</t>
  </si>
  <si>
    <t>PHYSICIAN INTENSIVIST</t>
  </si>
  <si>
    <t>PHYSICIAN INTERVENTIONAL CARDIOLOGY</t>
  </si>
  <si>
    <t>PRENATAL OB CENTER</t>
  </si>
  <si>
    <t>UMD Harford Memorial Hospital Emergency Department Physician subsidies</t>
  </si>
  <si>
    <t>OB Coverage</t>
  </si>
  <si>
    <t>Psych Coverage</t>
  </si>
  <si>
    <t>SBIRT Program</t>
  </si>
  <si>
    <t>Teaching Support - Community Ed @ JHCP Locations</t>
  </si>
  <si>
    <t>Social Work Services @ JHCP Locations</t>
  </si>
  <si>
    <t>21-0011</t>
  </si>
  <si>
    <t>667-234-2926</t>
  </si>
  <si>
    <t>Hospital-based Physician Specialty Subsidies</t>
  </si>
  <si>
    <t>House Staff/Coverage Subsidies</t>
  </si>
  <si>
    <t>Primary Care Clinic on campus in West Baltimore</t>
  </si>
  <si>
    <t>Beth Kelly</t>
  </si>
  <si>
    <t>410-933-2815</t>
  </si>
  <si>
    <t>Beth.E.Kelly@medstar.net</t>
  </si>
  <si>
    <t>21-0017</t>
  </si>
  <si>
    <t>C12</t>
  </si>
  <si>
    <t>Other Research</t>
  </si>
  <si>
    <t>C5</t>
  </si>
  <si>
    <t>C6</t>
  </si>
  <si>
    <t>Amber Ruble</t>
  </si>
  <si>
    <t xml:space="preserve">Kathleen McGrath </t>
  </si>
  <si>
    <t>Anesthesia Subsidy</t>
  </si>
  <si>
    <t>Greater Baltimore Medical Center</t>
  </si>
  <si>
    <t>Womens Services OB Clinic</t>
  </si>
  <si>
    <t>UMD UPPER CHESAPEAKE MEDICAL CENTER ANESTHESIOLOGY PHYSICIAN SUBSIDIES</t>
  </si>
  <si>
    <t>University of Maryland Rehabilitation &amp; Orthopaedic Institute</t>
  </si>
  <si>
    <t>Transitional Aftercare Program</t>
  </si>
  <si>
    <t xml:space="preserve">Charity Care </t>
  </si>
  <si>
    <t>Holy Cross</t>
  </si>
  <si>
    <t>Johns Hopkins</t>
  </si>
  <si>
    <t>% of Operating Expense less Rate Support</t>
  </si>
  <si>
    <t>Allen Twigg</t>
  </si>
  <si>
    <t>Level III Trauma Program</t>
  </si>
  <si>
    <t>Clinics for Underinsured and Uninsured</t>
  </si>
  <si>
    <t>Faith Community/Parish Nursing</t>
  </si>
  <si>
    <t>PHYSICIAN OB CALL/HOSPITALIST</t>
  </si>
  <si>
    <t>410-653-2905</t>
  </si>
  <si>
    <t>PA Charity Support</t>
  </si>
  <si>
    <t>Forensic Nurse Examiner</t>
  </si>
  <si>
    <t>CB Community Services @ JHCP Locations</t>
  </si>
  <si>
    <t>mlomax@ascension.org</t>
  </si>
  <si>
    <t>Health Care Access Maryland Care Management Program</t>
  </si>
  <si>
    <t>ER Subsidy</t>
  </si>
  <si>
    <t>Radiology Subsidy</t>
  </si>
  <si>
    <t>C75</t>
  </si>
  <si>
    <t>CV Surgery</t>
  </si>
  <si>
    <t>Pulmonology</t>
  </si>
  <si>
    <t>Neurosurgery</t>
  </si>
  <si>
    <t>msanfuentes@jhmi.edu</t>
  </si>
  <si>
    <t>Community Clinics</t>
  </si>
  <si>
    <t>Physician Recruiting</t>
  </si>
  <si>
    <t>ED Physician Uncompensated Care</t>
  </si>
  <si>
    <t>JHCP Community Services</t>
  </si>
  <si>
    <t>The Access Partnership (TAP)</t>
  </si>
  <si>
    <t xml:space="preserve">kfmcgrath@umm.edu </t>
  </si>
  <si>
    <t>Northwest Hospital Center, Inc.</t>
  </si>
  <si>
    <t>410-787-4491</t>
  </si>
  <si>
    <t>Oncology Survivorship Program</t>
  </si>
  <si>
    <t>Physician services</t>
  </si>
  <si>
    <t>Cynthia A. Kelleher</t>
  </si>
  <si>
    <t>410-448-6447</t>
  </si>
  <si>
    <t>ckelleher@umm.edu</t>
  </si>
  <si>
    <t>Positive Behavioral Interventions</t>
  </si>
  <si>
    <t>Life Space Crisis Intervention Program</t>
  </si>
  <si>
    <t>Behavioral Health Integrated Care</t>
  </si>
  <si>
    <t>UMD Harford Memorial Hospital Behavior Health Unit Physician subsidies</t>
  </si>
  <si>
    <t>Hospital Number</t>
  </si>
  <si>
    <t>Hospital ID</t>
  </si>
  <si>
    <t>Direct Medical Education (DME)</t>
  </si>
  <si>
    <t>Nurse Support Program I (NSPI)</t>
  </si>
  <si>
    <t>Total Rate Support for Education</t>
  </si>
  <si>
    <t>Number of Employees</t>
  </si>
  <si>
    <t xml:space="preserve">Total Staff Hours for CB Operations </t>
  </si>
  <si>
    <t>Total Community Benefit Expense</t>
  </si>
  <si>
    <t xml:space="preserve">Total Net CB minus Charity Care, DME, NSPI in Rates </t>
  </si>
  <si>
    <t xml:space="preserve"> Charity Care *</t>
  </si>
  <si>
    <t xml:space="preserve">Net Community Benefit </t>
  </si>
  <si>
    <t xml:space="preserve"> * The Adventist Hospital System has requested and received permission to report their Community Benefit activities on a CY Basis.  This allows them to more acurately reflect their true activities during the Community Benefit Cycle.  The numbers listed in the 'FY 2017 Amount in Rates for Charity Care, DME, and NSPI' Column as well as the Medicaid Deficit Assessments  rom the Inventory spreadsheets reflect the Commission's activities for FY17 and therefore will be different from the numbers reported by the Adventist Hospitals.</t>
  </si>
  <si>
    <t xml:space="preserve">Jacqueline Pourahmadi </t>
  </si>
  <si>
    <t>(301) 315-3271</t>
  </si>
  <si>
    <t>JPourahm@adventisthealthcare.com</t>
  </si>
  <si>
    <t>CalvertHealth Medical Center</t>
  </si>
  <si>
    <t>MENTAL HEALTH SERVICES OUTPATIENT</t>
  </si>
  <si>
    <t>Indigent Drug Program</t>
  </si>
  <si>
    <t>Child Life Specialist</t>
  </si>
  <si>
    <t>Senior Outreach/Elder Medical Care</t>
  </si>
  <si>
    <t>ER SAFE Program</t>
  </si>
  <si>
    <t>Oncology transportation program</t>
  </si>
  <si>
    <t>Oncology social work services</t>
  </si>
  <si>
    <t>Kimberley McBride</t>
  </si>
  <si>
    <t>Safety Net Clinics - Billing</t>
  </si>
  <si>
    <t>SNFists Subsidy</t>
  </si>
  <si>
    <t>Behavioral Health Subsidy</t>
  </si>
  <si>
    <t>Camesha Spence</t>
  </si>
  <si>
    <t>410-968-9355</t>
  </si>
  <si>
    <t>cspence@mccreadyhealth.org</t>
  </si>
  <si>
    <t xml:space="preserve">Women's and Children Services </t>
  </si>
  <si>
    <t xml:space="preserve">Subsidized Continuing Care </t>
  </si>
  <si>
    <t>Neonatal Intensive Care</t>
  </si>
  <si>
    <t>Behavioral Health Services</t>
  </si>
  <si>
    <t xml:space="preserve">MedStar St Mary's Hospital </t>
  </si>
  <si>
    <t>Women's and Childrens Health</t>
  </si>
  <si>
    <t>Behavorial health Services</t>
  </si>
  <si>
    <t>Renal Dialysis</t>
  </si>
  <si>
    <t>Emergency</t>
  </si>
  <si>
    <t>Detox Program</t>
  </si>
  <si>
    <t>Dental Clinic Services</t>
  </si>
  <si>
    <t>21-0001</t>
  </si>
  <si>
    <t>Rachana Patani</t>
  </si>
  <si>
    <t>410-578-5065</t>
  </si>
  <si>
    <t>Rachana.Patani@MWPH.org</t>
  </si>
  <si>
    <t>Smoking Cessation</t>
  </si>
  <si>
    <t>laurie.fetterman@umm.edu</t>
  </si>
  <si>
    <t>URGENT CARE</t>
  </si>
  <si>
    <t>Community Service Activities</t>
  </si>
  <si>
    <t>Medical Oncology</t>
  </si>
  <si>
    <t>C81</t>
  </si>
  <si>
    <t>Endocrinology</t>
  </si>
  <si>
    <t>aruble@wmhs.com</t>
  </si>
  <si>
    <t>C55</t>
  </si>
  <si>
    <t>Cardiology Physicians Practice</t>
  </si>
  <si>
    <t>GI Physicians Practice</t>
  </si>
  <si>
    <t>C54</t>
  </si>
  <si>
    <t>Pulmonary Physician Practice</t>
  </si>
  <si>
    <t>Telehealth TNN Chronic Disease Mgmt / AntiThrombosis Clinic</t>
  </si>
  <si>
    <t>Physician Subsidies - ED On-Call</t>
  </si>
  <si>
    <t>Physician Subsidies - Psych ED/IP Coverage</t>
  </si>
  <si>
    <t>Physician Subsidies - Otolaryngology On-Call</t>
  </si>
  <si>
    <t>Physician Subsidies - Interventional Cardiology On-Call</t>
  </si>
  <si>
    <t>Physician Subsidies - Anesthesia On-Call</t>
  </si>
  <si>
    <t>Physician Subsidies - OB/GYN (ED &amp; IP Coverage)</t>
  </si>
  <si>
    <t>Physician Subsidies - Cardiology On-Call</t>
  </si>
  <si>
    <t>Physician Subsidies - Infusion Center</t>
  </si>
  <si>
    <t>Physician Subsidies - Hospitalist (Intern &amp; Resident)</t>
  </si>
  <si>
    <t>210002 &amp; 218992</t>
  </si>
  <si>
    <t>Univ. of Maryland Medical Center</t>
  </si>
  <si>
    <t>210003 &amp; 210055</t>
  </si>
  <si>
    <t>Frederick Memorial Hospital</t>
  </si>
  <si>
    <t>Univ. of Maryland Harford Memorial Hospital</t>
  </si>
  <si>
    <t>Mercy Medical Center, Inc.</t>
  </si>
  <si>
    <t>Univ. of Maryland Shore Medical Center at Dorchester</t>
  </si>
  <si>
    <t>St. Agnes Hospital</t>
  </si>
  <si>
    <t>Sinai Hospital</t>
  </si>
  <si>
    <t>Bon Secours Hospital</t>
  </si>
  <si>
    <t>MedStar Franklin Square Hospital</t>
  </si>
  <si>
    <t>Washington Adventist Hospital</t>
  </si>
  <si>
    <t>Garrett County Memorial Hospital</t>
  </si>
  <si>
    <t>MedStar Montgomery General Hospital</t>
  </si>
  <si>
    <t>Suburban Hospital Association,Inc</t>
  </si>
  <si>
    <t>Anne Arundel General Hospital</t>
  </si>
  <si>
    <t>Western Maryland Hospital</t>
  </si>
  <si>
    <t>MedStar St. Marys Hospital</t>
  </si>
  <si>
    <t>Johns Hopkins Bayview Med. Center</t>
  </si>
  <si>
    <t>Univ. of Maryland Shore Medical Center at Chestertown</t>
  </si>
  <si>
    <t>Carroll County General Hospital</t>
  </si>
  <si>
    <t>MedStar Harbor Hospital Center</t>
  </si>
  <si>
    <t>Univ. of Maryland Charles Regional Medical Center</t>
  </si>
  <si>
    <t>Univ. of Maryland Shore Medical Center at Easton</t>
  </si>
  <si>
    <t>Univ. of Maryland Medical Center Midtown Campus</t>
  </si>
  <si>
    <t>Calvert Memorial Hospital</t>
  </si>
  <si>
    <t>Univ. of Maryland Baltimore Washington Medical Center</t>
  </si>
  <si>
    <t>McCready Foundation, Inc.</t>
  </si>
  <si>
    <t>Univ. of Maryland Upper Chesepeake Medical Center</t>
  </si>
  <si>
    <t>Doctors Community Hospital</t>
  </si>
  <si>
    <t>Shady Grove Adventist Hospital</t>
  </si>
  <si>
    <t>UMROI</t>
  </si>
  <si>
    <t>MedStar Southern Maryland Hospital</t>
  </si>
  <si>
    <t>Univ. of Maryland St. Josephs Medical Center</t>
  </si>
  <si>
    <t>Holy Cross German Town</t>
  </si>
  <si>
    <t>Mt. Washington Peds</t>
  </si>
  <si>
    <t>Adventist Rehabilitation</t>
  </si>
  <si>
    <t>UM Capital Region</t>
  </si>
  <si>
    <t>Adapted Golf Program</t>
  </si>
  <si>
    <t>Adapted Sports Festival</t>
  </si>
  <si>
    <t>Wheelchair Basketball Clinic</t>
  </si>
  <si>
    <t>Wheelchair Rugby</t>
  </si>
  <si>
    <t>Hospital Owned Practices</t>
  </si>
  <si>
    <t>Meritus Urgent Care</t>
  </si>
  <si>
    <t>MMG Physician Practices</t>
  </si>
  <si>
    <t>Physicians On Call</t>
  </si>
  <si>
    <t>Intensive Care Services to Community</t>
  </si>
  <si>
    <t>OB Services to Community</t>
  </si>
  <si>
    <t>Cardiology Services to Community</t>
  </si>
  <si>
    <t>Clinic Services to Community</t>
  </si>
  <si>
    <t>Psychiatric Services to Community</t>
  </si>
  <si>
    <t>Other Services to Community</t>
  </si>
  <si>
    <t>University of Maryland Harford Memorial Hospital</t>
  </si>
  <si>
    <t>Curt Ohler</t>
  </si>
  <si>
    <t>cohler@umm.edu</t>
  </si>
  <si>
    <t>Klein's Family Behavioral Health Crisis Center</t>
  </si>
  <si>
    <t>ED Physician</t>
  </si>
  <si>
    <t>Physician Charity Support</t>
  </si>
  <si>
    <t>443-997-5999</t>
  </si>
  <si>
    <t xml:space="preserve">Personal Care/Food Pantry Community Building </t>
  </si>
  <si>
    <t>Other - Baby to Remember / Pastoral Care</t>
  </si>
  <si>
    <t>Other Resources - Assigned Staff Travel</t>
  </si>
  <si>
    <t>Coverage of ED on Call</t>
  </si>
  <si>
    <t>KAREN ACKERMAN</t>
  </si>
  <si>
    <t>301-533-4257</t>
  </si>
  <si>
    <t>kackerman@gcmh.com</t>
  </si>
  <si>
    <t>HeartWell Program</t>
  </si>
  <si>
    <t>C82</t>
  </si>
  <si>
    <t>Prescription Medications</t>
  </si>
  <si>
    <t>Center for Clinical Resources</t>
  </si>
  <si>
    <t>Organizationally Owned Urgent Care Centers- Frostburg, Hunt Club and South Cumberland</t>
  </si>
  <si>
    <t>Social &amp; Environmental Improvements</t>
  </si>
  <si>
    <t>Access Carroll - medical, dental and behavioral health practice</t>
  </si>
  <si>
    <t>Jim Clague</t>
  </si>
  <si>
    <t>301-609-5154</t>
  </si>
  <si>
    <t>jclague1@umm.edu</t>
  </si>
  <si>
    <t>Emergency &amp; Trauma Services</t>
  </si>
  <si>
    <t>Women's &amp; Children's Services</t>
  </si>
  <si>
    <t>University of Maryland Medical Center Midtown Campus</t>
  </si>
  <si>
    <t>OUTPATIENT PT &amp; OT REHABILITATION SERVICES</t>
  </si>
  <si>
    <t>HOSPITAL EMERGENCY &amp; BEHAVIORAL HEALTH SERVICES</t>
  </si>
  <si>
    <t>INTENSIVE CARE UNIT CALL COVERAGE</t>
  </si>
  <si>
    <t>OTHER ANCILLARY CALL COVERAGE SERVICES</t>
  </si>
  <si>
    <t>University of Maryland Baltimore Washington Medical Center</t>
  </si>
  <si>
    <t>Laurie Fetterman, Manager, Stragetic Planning and Service Line Development</t>
  </si>
  <si>
    <t>McCready Foundation</t>
  </si>
  <si>
    <t>210045</t>
  </si>
  <si>
    <t>263</t>
  </si>
  <si>
    <t>McCready Care-A-Van</t>
  </si>
  <si>
    <t>McCready Health Flu Clinic</t>
  </si>
  <si>
    <t>University of Maryland Upper Chesapeake Medical Center</t>
  </si>
  <si>
    <t>Dental Clinic</t>
  </si>
  <si>
    <t>410-641-9095</t>
  </si>
  <si>
    <t>MedStar Southern Maryland Hospital Center</t>
  </si>
  <si>
    <t>410-337-1602</t>
  </si>
  <si>
    <t>Cristo Rey Internship Program</t>
  </si>
  <si>
    <t>Lead Clinic</t>
  </si>
  <si>
    <t>Crisis Walk In Clinic (CWIC)</t>
  </si>
  <si>
    <t>FY 2020 Data Collection Sheet</t>
  </si>
  <si>
    <t>Farmer's Market</t>
  </si>
  <si>
    <t>Hospital Subsidies to Physician Groups</t>
  </si>
  <si>
    <t>Hospice Voluntary Write-Offs (Hospice of Washington County)</t>
  </si>
  <si>
    <t>On-Call Fees - Emergency Specialist Call</t>
  </si>
  <si>
    <t>University of Maryland Capital Region Health</t>
  </si>
  <si>
    <t>Sabra Wilson</t>
  </si>
  <si>
    <t>301-357-1625</t>
  </si>
  <si>
    <t>Sabra.Wilson@umm.edu</t>
  </si>
  <si>
    <t>Anesthesia/OR Services to Community</t>
  </si>
  <si>
    <t>Trauma/ED Services to Community</t>
  </si>
  <si>
    <t>Social Care Hub</t>
  </si>
  <si>
    <t>Social and Evnvironmental Improvement Act</t>
  </si>
  <si>
    <t>FREDERICK HEALTH HOSPITAL, INC</t>
  </si>
  <si>
    <t>HANNAH JACOBBS</t>
  </si>
  <si>
    <t>240-566-3178</t>
  </si>
  <si>
    <t>hjacobs@frederick.health</t>
  </si>
  <si>
    <t>n/a</t>
  </si>
  <si>
    <t>443 6433346</t>
  </si>
  <si>
    <t>cohler@umm.edu.</t>
  </si>
  <si>
    <t xml:space="preserve">Mercy Medical Center </t>
  </si>
  <si>
    <t xml:space="preserve">Justin Deibel </t>
  </si>
  <si>
    <t xml:space="preserve">Charity Prescription </t>
  </si>
  <si>
    <t>FY 2020 COMMUNITY BENEFIT INVENTORY SPREADSHEET</t>
  </si>
  <si>
    <t xml:space="preserve">                    </t>
  </si>
  <si>
    <t>Psychgeriatrics - "PATCH"</t>
  </si>
  <si>
    <t>Hispanic Grant Clinic</t>
  </si>
  <si>
    <t>Shore Regional Health Dorchester General Hospital</t>
  </si>
  <si>
    <t>410 822 1000  x 5885</t>
  </si>
  <si>
    <t>Physician Subsidy - Hospitalists</t>
  </si>
  <si>
    <t>Physician Subsidy - Emergency Physicians</t>
  </si>
  <si>
    <t>Physician Subsidy - Physicians on Call</t>
  </si>
  <si>
    <t>Physician Subsidy - Anesthesiology</t>
  </si>
  <si>
    <t>Cardiology Shore SMG</t>
  </si>
  <si>
    <t>Urology Shore SMG</t>
  </si>
  <si>
    <t>Surgical Practice Easton SMG</t>
  </si>
  <si>
    <t>OB/GYN Easton SMG</t>
  </si>
  <si>
    <t>UMSMG - All other specialties ( Breast Center, Digestive Health, Endocrinology, ENT, Family Med, Neurology, Oncology, Pallative Care, Pediatrics, Psych, Pulmonary Care, Acute Rehab &amp; Wound Care)</t>
  </si>
  <si>
    <t>Sinai Hospital of Baltimore, Inc</t>
  </si>
  <si>
    <t>NICU/ PICU Subsidy</t>
  </si>
  <si>
    <t>Other Hospital OP Services</t>
  </si>
  <si>
    <t>Grace Medical Center</t>
  </si>
  <si>
    <t>MA Advocacy</t>
  </si>
  <si>
    <t>CIBS Behavioral Health</t>
  </si>
  <si>
    <t>ER Call/Coverage</t>
  </si>
  <si>
    <t>Other - Hospitalists, Physician Assistants, Endocrinology, Family Health</t>
  </si>
  <si>
    <t>Adventist HealthCare White Oak Medical Center</t>
  </si>
  <si>
    <t>508</t>
  </si>
  <si>
    <t>COVID-19 Pandemic Preparedness &amp; Response</t>
  </si>
  <si>
    <t>Rita Mecca</t>
  </si>
  <si>
    <t>410-543-7530; x-4894#</t>
  </si>
  <si>
    <t>rita.mecca@peninsula.org</t>
  </si>
  <si>
    <t>MISSION DRIVEN HEALTH SERVICES (continued)</t>
  </si>
  <si>
    <t>Pediatric Specialties</t>
  </si>
  <si>
    <t>Transitions Services</t>
  </si>
  <si>
    <t>Primary Care Salisbury</t>
  </si>
  <si>
    <t>C15</t>
  </si>
  <si>
    <t>Wagner Wellness Van</t>
  </si>
  <si>
    <t>Endocrinology - Berlin</t>
  </si>
  <si>
    <t>Peninsula Partners</t>
  </si>
  <si>
    <t>Bridge Clinic</t>
  </si>
  <si>
    <t>Physcian Subsidies - Hospitalists</t>
  </si>
  <si>
    <t>Physician Subsidies - Recruitment</t>
  </si>
  <si>
    <t>Infectious Disease</t>
  </si>
  <si>
    <t>Delmarva Heart</t>
  </si>
  <si>
    <t>Peninsula Cardiology</t>
  </si>
  <si>
    <t>Gastroenterology</t>
  </si>
  <si>
    <t>Gastroenterology - Canakis</t>
  </si>
  <si>
    <t>Pain Management</t>
  </si>
  <si>
    <t xml:space="preserve">Community Benefit Planning </t>
  </si>
  <si>
    <t>Trauma On Call Coverage (ER)</t>
  </si>
  <si>
    <t>Ophthalmology On Call (ER)</t>
  </si>
  <si>
    <t>Stroke On Call (ER)</t>
  </si>
  <si>
    <t>Vascular On Call (ER)</t>
  </si>
  <si>
    <t>ENT On Call (ER)</t>
  </si>
  <si>
    <t>Emergency Room Coverage (ER)</t>
  </si>
  <si>
    <t>OB/GYN On Call (ER)</t>
  </si>
  <si>
    <t>Hospital Based Physicians (includes Hospitalists, Intensivists, Cardiac Surgeons)</t>
  </si>
  <si>
    <t>Behavioral Health On Call (ER)</t>
  </si>
  <si>
    <t>Population Health Improvement</t>
  </si>
  <si>
    <t>Urology On Call (ER)</t>
  </si>
  <si>
    <t>Cardiology On Call (ER)</t>
  </si>
  <si>
    <t>Gastroenterology On Call (ER)</t>
  </si>
  <si>
    <t>Anesthesiology On Call (ER)</t>
  </si>
  <si>
    <t>Anne Arundel Medical Center</t>
  </si>
  <si>
    <t>Christine Crabbs</t>
  </si>
  <si>
    <t>410-336-0795</t>
  </si>
  <si>
    <t>ccrabbs@aahs.org</t>
  </si>
  <si>
    <t>Pharmacy</t>
  </si>
  <si>
    <t>Anne Arundel Diagnostics&amp; Imaging</t>
  </si>
  <si>
    <t xml:space="preserve">Oncology </t>
  </si>
  <si>
    <t>Hospitalists (pediatric, adult, OB, palliative)</t>
  </si>
  <si>
    <t>Other Subsidized Health Services (DV, Palliative Care, SAIL Center, Ambulance)</t>
  </si>
  <si>
    <t>Covid Relief Revenue</t>
  </si>
  <si>
    <t>2,113</t>
  </si>
  <si>
    <t>UPMC Western Maryland</t>
  </si>
  <si>
    <t>Hospice</t>
  </si>
  <si>
    <t>Wound Care physicians Practice</t>
  </si>
  <si>
    <t>Psychiatric Physician Practice</t>
  </si>
  <si>
    <t>C51</t>
  </si>
  <si>
    <t>Nephrology Practice</t>
  </si>
  <si>
    <t>Mobile Clinical Resources</t>
  </si>
  <si>
    <t>C52</t>
  </si>
  <si>
    <t>Infectious Disease Practice</t>
  </si>
  <si>
    <t>C53</t>
  </si>
  <si>
    <t>Endocrinology Practice</t>
  </si>
  <si>
    <t>1,184</t>
  </si>
  <si>
    <t>C100</t>
  </si>
  <si>
    <t>Hospital-based Physicians</t>
  </si>
  <si>
    <t>Katie Coombes</t>
  </si>
  <si>
    <t>302-428-5783</t>
  </si>
  <si>
    <t>katie.w.coombes@christianacare.org</t>
  </si>
  <si>
    <t>Selena Mowery</t>
  </si>
  <si>
    <t>sbrewer@lifebridgehealth.org</t>
  </si>
  <si>
    <t> </t>
  </si>
  <si>
    <t>Medicaid Advocacy Vendor Fees</t>
  </si>
  <si>
    <t>Other (Surgical Pas and Hospitalists)</t>
  </si>
  <si>
    <t>University of Maryland Charles Regional Medical Center</t>
  </si>
  <si>
    <t>Partnerships for a Healthier Charles County</t>
  </si>
  <si>
    <t>Adult Hospitalist Services</t>
  </si>
  <si>
    <t>Mobile Integrated Health</t>
  </si>
  <si>
    <t>Anesthesiology Services</t>
  </si>
  <si>
    <t>ICU Services</t>
  </si>
  <si>
    <t>Physician Practices</t>
  </si>
  <si>
    <t>Operational support</t>
  </si>
  <si>
    <t>Shore Regional Health Memorial Hospital at Easton</t>
  </si>
  <si>
    <t>COVID expenses</t>
  </si>
  <si>
    <t>Physician recruitment</t>
  </si>
  <si>
    <t>2410</t>
  </si>
  <si>
    <t>1456</t>
  </si>
  <si>
    <t>Georgios Roros</t>
  </si>
  <si>
    <t>georgios.roros@umm.edu</t>
  </si>
  <si>
    <t>Emergency Physician Subsidies</t>
  </si>
  <si>
    <t>Internal Medicine Physician Subsidies</t>
  </si>
  <si>
    <t>Neurology Physician Subsidies</t>
  </si>
  <si>
    <t>Psychiatry Physician Subsidies</t>
  </si>
  <si>
    <t>Cardiology Physician Subsidies</t>
  </si>
  <si>
    <t>Radiology Physician Subsidies</t>
  </si>
  <si>
    <t>Chemical Dependency Physician Subsidies</t>
  </si>
  <si>
    <t>Nocturnists Subsidies</t>
  </si>
  <si>
    <t>Hospitalists Subsidies</t>
  </si>
  <si>
    <t>Anesthesiology Subsidies</t>
  </si>
  <si>
    <t xml:space="preserve">Other </t>
  </si>
  <si>
    <t xml:space="preserve">Student Job Shadowing </t>
  </si>
  <si>
    <t>ACUTE CARE  &amp; PEDIATRIC HOSPITALIST PROGRAM</t>
  </si>
  <si>
    <t>PHYSICIAN SUBSIDIES FULFILLING HEALTH CARE NEED</t>
  </si>
  <si>
    <t>Northwest Hospital</t>
  </si>
  <si>
    <t>ER Call</t>
  </si>
  <si>
    <t>Inpatient Psychiatric Care</t>
  </si>
  <si>
    <t>Cardiology Services</t>
  </si>
  <si>
    <t>Diabetes and Endocrinology Center</t>
  </si>
  <si>
    <t>Cancer Center Support Services (Social Work, Geneticist)</t>
  </si>
  <si>
    <t>ED Oral Surgery On-Call</t>
  </si>
  <si>
    <t>ED SAFE Program</t>
  </si>
  <si>
    <t>Transitional Care Center</t>
  </si>
  <si>
    <t>Primary/Senior Care</t>
  </si>
  <si>
    <t>Carl Prazenica</t>
  </si>
  <si>
    <t>443-849-4322</t>
  </si>
  <si>
    <t>cprazenica@gbmc.org</t>
  </si>
  <si>
    <t>Due January 15th</t>
  </si>
  <si>
    <t>From FY2019</t>
  </si>
  <si>
    <t>Healthy Family, Howard County (HFHC)</t>
  </si>
  <si>
    <t>Physician Subsidies - Vascular Mission Support</t>
  </si>
  <si>
    <t>Physician Subsidies - Way Station Program</t>
  </si>
  <si>
    <t>UMD UPPER CHESAPEAKE MEDICAL CENTER EMERGENCY DEPARTMENT PHYSICIAN SUBSIDIES</t>
  </si>
  <si>
    <t>KLIEN FAMILY BEHAVIOR HEALTH CRISIS CENTER</t>
  </si>
  <si>
    <t xml:space="preserve">Doctors Community Hospital/Doctors Community Medical Center </t>
  </si>
  <si>
    <t>Mary Dudley</t>
  </si>
  <si>
    <t>301-552-8670</t>
  </si>
  <si>
    <t>Mdudley@DCHweb.org</t>
  </si>
  <si>
    <t>Pediatric Emergency Department</t>
  </si>
  <si>
    <t xml:space="preserve">Physician Subsidized Services </t>
  </si>
  <si>
    <t xml:space="preserve">Behavior Health </t>
  </si>
  <si>
    <t xml:space="preserve">Conduent Contract </t>
  </si>
  <si>
    <t>Fort Washington Medical Center Inc. &amp; Adventist HealthCare Fort Washington Medical Center Inc.</t>
  </si>
  <si>
    <t>Diabeties Education and Support Services</t>
  </si>
  <si>
    <t>Zumba Exercise Classes</t>
  </si>
  <si>
    <t>HIV &amp; HEPATITIS C FREE TESTING PROGRAM-GRANT SUPPORTED</t>
  </si>
  <si>
    <t>Safe Program</t>
  </si>
  <si>
    <t>Paliative Care</t>
  </si>
  <si>
    <t>Other Resouces</t>
  </si>
  <si>
    <t>1,149</t>
  </si>
  <si>
    <t>21-0063</t>
  </si>
  <si>
    <t>Paul Nicholson</t>
  </si>
  <si>
    <t>paulnicholson@umm.edu</t>
  </si>
  <si>
    <t>Food Security</t>
  </si>
  <si>
    <t>Community Produce</t>
  </si>
  <si>
    <t>COVID Command Center</t>
  </si>
  <si>
    <t>1,710</t>
  </si>
  <si>
    <t>Adventist HealthCare Shady Grove Medical Center</t>
  </si>
  <si>
    <t>Adventist Rehabilitation Hospital of Maryland, Inc.</t>
  </si>
  <si>
    <t>Thomas Glenn</t>
  </si>
  <si>
    <t>410-938-3152</t>
  </si>
  <si>
    <t>tglenn@sheppardpratt.org</t>
  </si>
  <si>
    <t>Therapy Referral Service</t>
  </si>
  <si>
    <t>FY 2020 Rate Support for Direct Medical Education and the Nurse Support Program</t>
  </si>
  <si>
    <t>FY 2020 Rate Support for Charity Care</t>
  </si>
  <si>
    <t>Adventist White Oak Hospital</t>
  </si>
  <si>
    <t>FY2011 - FY2020 - Rate Support - for all hospitals</t>
  </si>
  <si>
    <t>FY2011-FY2020 - Net expense with &amp; without rate support</t>
  </si>
  <si>
    <t>Table I FY2020 All Hospitals Community Benefit Expenditures</t>
  </si>
  <si>
    <t>FY 2020 Community Benefit Analysis, by Hospital</t>
  </si>
  <si>
    <t>FY 2020 Amount in Rates for Charity Care, DME, and NSPI*</t>
  </si>
  <si>
    <t>Attachment III - Aggregated Hospital CBR Data FY2020 - Including Specialty Hospitals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</si>
</sst>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lt;=9999999]###\-####;\(###\)\ ###\-####"/>
    <numFmt numFmtId="166" formatCode="_(* #,##0_);_(* \(#,##0\);_(* &quot;-&quot;??_);_(@_)"/>
    <numFmt numFmtId="167" formatCode="&quot;$&quot;#,##0"/>
    <numFmt numFmtId="168" formatCode="_(&quot;$&quot;* #,##0_);_(&quot;$&quot;* \(#,##0\);_(&quot;$&quot;* &quot;-&quot;??_);_(@_)"/>
    <numFmt numFmtId="169" formatCode="0.0%"/>
    <numFmt numFmtId="170" formatCode="_(* #,##0.0000_);_(* \(#,##0.0000\);_(* &quot;-&quot;??_);_(@_)"/>
    <numFmt numFmtId="171" formatCode="#,##0.0"/>
    <numFmt numFmtId="172" formatCode="_(* #,##0.0_);_(* \(#,##0.0\);_(* &quot;-&quot;??_);_(@_)"/>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sz val="8"/>
      <name val="Arial"/>
      <family val="2"/>
    </font>
    <font>
      <b/>
      <sz val="12"/>
      <name val="Arial"/>
      <family val="2"/>
    </font>
    <font>
      <b/>
      <i/>
      <sz val="9"/>
      <name val="Arial"/>
      <family val="2"/>
    </font>
    <font>
      <sz val="9"/>
      <name val="Arial"/>
      <family val="2"/>
    </font>
    <font>
      <b/>
      <sz val="11"/>
      <color theme="1"/>
      <name val="Calibri"/>
      <family val="2"/>
      <scheme val="minor"/>
    </font>
    <font>
      <sz val="12"/>
      <name val="Arial"/>
      <family val="2"/>
    </font>
    <font>
      <sz val="12"/>
      <name val="Times New Roman"/>
      <family val="1"/>
    </font>
    <font>
      <sz val="10"/>
      <name val="System"/>
      <family val="2"/>
    </font>
    <font>
      <b/>
      <sz val="18"/>
      <color theme="1"/>
      <name val="Calibri"/>
      <family val="2"/>
      <scheme val="minor"/>
    </font>
    <font>
      <b/>
      <sz val="14"/>
      <color theme="1"/>
      <name val="Calibri"/>
      <family val="2"/>
      <scheme val="minor"/>
    </font>
    <font>
      <b/>
      <sz val="10"/>
      <color theme="1"/>
      <name val="Calibri"/>
      <family val="2"/>
      <scheme val="minor"/>
    </font>
    <font>
      <b/>
      <i/>
      <u val="double"/>
      <sz val="14"/>
      <color theme="1"/>
      <name val="Calibri"/>
      <family val="2"/>
      <scheme val="minor"/>
    </font>
    <font>
      <b/>
      <i/>
      <sz val="14"/>
      <color theme="1"/>
      <name val="Calibri"/>
      <family val="2"/>
      <scheme val="minor"/>
    </font>
    <font>
      <b/>
      <i/>
      <u val="singleAccounting"/>
      <sz val="11"/>
      <color theme="1"/>
      <name val="Calibri"/>
      <family val="2"/>
      <scheme val="minor"/>
    </font>
    <font>
      <u val="singleAccounting"/>
      <sz val="11"/>
      <color theme="1"/>
      <name val="Calibri"/>
      <family val="2"/>
      <scheme val="minor"/>
    </font>
    <font>
      <b/>
      <i/>
      <u val="doubleAccounting"/>
      <sz val="11"/>
      <color theme="1"/>
      <name val="Calibri"/>
      <family val="2"/>
      <scheme val="minor"/>
    </font>
    <font>
      <b/>
      <i/>
      <sz val="11"/>
      <color theme="1"/>
      <name val="Calibri"/>
      <family val="2"/>
      <scheme val="minor"/>
    </font>
    <font>
      <i/>
      <sz val="11"/>
      <color theme="1"/>
      <name val="Calibri"/>
      <family val="2"/>
      <scheme val="minor"/>
    </font>
    <font>
      <b/>
      <u/>
      <sz val="14"/>
      <color theme="1"/>
      <name val="Calibri"/>
      <family val="2"/>
      <scheme val="minor"/>
    </font>
    <font>
      <sz val="10"/>
      <name val="Arial"/>
      <family val="2"/>
    </font>
    <font>
      <sz val="12"/>
      <name val="Times New Roman"/>
      <family val="1"/>
    </font>
    <font>
      <u/>
      <sz val="11"/>
      <color theme="10"/>
      <name val="Calibri"/>
      <family val="2"/>
      <scheme val="minor"/>
    </font>
    <font>
      <sz val="11"/>
      <color theme="1"/>
      <name val="Cambria"/>
      <family val="1"/>
      <scheme val="major"/>
    </font>
    <font>
      <u/>
      <sz val="10"/>
      <color theme="10"/>
      <name val="Arial"/>
      <family val="2"/>
    </font>
    <font>
      <b/>
      <sz val="16"/>
      <name val="Arial"/>
      <family val="2"/>
    </font>
    <font>
      <b/>
      <sz val="8"/>
      <name val="Arial"/>
      <family val="2"/>
    </font>
    <font>
      <b/>
      <i/>
      <sz val="11"/>
      <color rgb="FFFF0000"/>
      <name val="Calibri"/>
      <family val="2"/>
      <scheme val="minor"/>
    </font>
    <font>
      <sz val="11"/>
      <name val="Calibri"/>
      <family val="2"/>
      <scheme val="minor"/>
    </font>
    <font>
      <u/>
      <sz val="11"/>
      <color theme="10"/>
      <name val="Calibri"/>
      <family val="2"/>
    </font>
    <font>
      <sz val="10"/>
      <color rgb="FF000000"/>
      <name val="Arial"/>
      <family val="2"/>
    </font>
    <font>
      <sz val="10"/>
      <name val="Arial"/>
      <family val="2"/>
    </font>
    <font>
      <u/>
      <sz val="8.8000000000000007"/>
      <color theme="10"/>
      <name val="Calibri"/>
      <family val="2"/>
    </font>
    <font>
      <u/>
      <sz val="11"/>
      <color indexed="8"/>
      <name val="Calibri"/>
      <family val="2"/>
    </font>
    <font>
      <sz val="11"/>
      <color indexed="8"/>
      <name val="Calibri"/>
      <family val="2"/>
    </font>
    <font>
      <sz val="10"/>
      <color rgb="FF000000"/>
      <name val="Arial"/>
      <family val="2"/>
    </font>
    <font>
      <sz val="10"/>
      <color indexed="8"/>
      <name val="Arial"/>
      <family val="2"/>
    </font>
    <font>
      <sz val="10"/>
      <color rgb="FFFF0000"/>
      <name val="Arial"/>
      <family val="2"/>
    </font>
    <font>
      <sz val="10"/>
      <name val="Arial"/>
      <family val="2"/>
    </font>
    <font>
      <b/>
      <sz val="11"/>
      <name val="Calibri"/>
      <family val="2"/>
      <scheme val="minor"/>
    </font>
    <font>
      <u/>
      <sz val="10"/>
      <color theme="10"/>
      <name val="Arial"/>
      <family val="2"/>
    </font>
    <font>
      <sz val="10"/>
      <color theme="1"/>
      <name val="Arial"/>
      <family val="2"/>
    </font>
    <font>
      <sz val="11"/>
      <name val="Arial"/>
      <family val="2"/>
    </font>
    <font>
      <b/>
      <sz val="11"/>
      <color rgb="FF000000"/>
      <name val="Calibri"/>
      <family val="2"/>
      <scheme val="minor"/>
    </font>
    <font>
      <u/>
      <sz val="10"/>
      <name val="Arial"/>
      <family val="2"/>
    </font>
    <font>
      <b/>
      <sz val="9"/>
      <color indexed="81"/>
      <name val="Tahoma"/>
      <family val="2"/>
    </font>
    <font>
      <sz val="9"/>
      <color indexed="81"/>
      <name val="Tahoma"/>
      <family val="2"/>
    </font>
    <font>
      <sz val="12"/>
      <color theme="1"/>
      <name val="Times New Roman"/>
      <family val="1"/>
    </font>
    <font>
      <sz val="8"/>
      <color theme="1"/>
      <name val="Arial"/>
      <family val="2"/>
    </font>
    <font>
      <sz val="11"/>
      <color theme="1"/>
      <name val="Calibri"/>
      <family val="2"/>
    </font>
    <font>
      <sz val="11"/>
      <name val="Calibri"/>
      <family val="2"/>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theme="0"/>
        <bgColor indexed="64"/>
      </patternFill>
    </fill>
    <fill>
      <patternFill patternType="solid">
        <fgColor rgb="FFFF0000"/>
        <bgColor indexed="64"/>
      </patternFill>
    </fill>
    <fill>
      <patternFill patternType="solid">
        <fgColor rgb="FFB8CCE4"/>
        <bgColor indexed="64"/>
      </patternFill>
    </fill>
    <fill>
      <patternFill patternType="solid">
        <fgColor rgb="FFFFC00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s>
  <cellStyleXfs count="190">
    <xf numFmtId="0" fontId="0" fillId="0" borderId="0"/>
    <xf numFmtId="9" fontId="26" fillId="0" borderId="0" applyFont="0" applyFill="0" applyBorder="0" applyAlignment="0" applyProtection="0"/>
    <xf numFmtId="0" fontId="26" fillId="0" borderId="0"/>
    <xf numFmtId="0" fontId="25" fillId="0" borderId="0"/>
    <xf numFmtId="0" fontId="34" fillId="0" borderId="0"/>
    <xf numFmtId="43" fontId="25" fillId="0" borderId="0" applyFont="0" applyFill="0" applyBorder="0" applyAlignment="0" applyProtection="0"/>
    <xf numFmtId="9" fontId="25" fillId="0" borderId="0" applyFont="0" applyFill="0" applyBorder="0" applyAlignment="0" applyProtection="0"/>
    <xf numFmtId="0" fontId="36" fillId="0" borderId="0"/>
    <xf numFmtId="44" fontId="25" fillId="0" borderId="0" applyFont="0" applyFill="0" applyBorder="0" applyAlignment="0" applyProtection="0"/>
    <xf numFmtId="0" fontId="24" fillId="0" borderId="0"/>
    <xf numFmtId="0" fontId="24" fillId="0" borderId="0"/>
    <xf numFmtId="9" fontId="48" fillId="0" borderId="0" applyFont="0" applyFill="0" applyBorder="0" applyAlignment="0" applyProtection="0"/>
    <xf numFmtId="0" fontId="23" fillId="0" borderId="0"/>
    <xf numFmtId="0" fontId="49" fillId="0" borderId="0"/>
    <xf numFmtId="43" fontId="35" fillId="0" borderId="0" applyFont="0" applyFill="0" applyBorder="0" applyAlignment="0" applyProtection="0"/>
    <xf numFmtId="9" fontId="26" fillId="0" borderId="0" applyFont="0" applyFill="0" applyBorder="0" applyAlignment="0" applyProtection="0"/>
    <xf numFmtId="0" fontId="50" fillId="0" borderId="0" applyNumberFormat="0" applyFill="0" applyBorder="0" applyAlignment="0" applyProtection="0"/>
    <xf numFmtId="0" fontId="22" fillId="0" borderId="0"/>
    <xf numFmtId="43" fontId="48" fillId="0" borderId="0" applyFont="0" applyFill="0" applyBorder="0" applyAlignment="0" applyProtection="0"/>
    <xf numFmtId="44" fontId="48" fillId="0" borderId="0" applyFont="0" applyFill="0" applyBorder="0" applyAlignment="0" applyProtection="0"/>
    <xf numFmtId="0" fontId="21" fillId="0" borderId="0"/>
    <xf numFmtId="0" fontId="52" fillId="0" borderId="0" applyNumberFormat="0" applyFill="0" applyBorder="0" applyAlignment="0" applyProtection="0"/>
    <xf numFmtId="0" fontId="26" fillId="0" borderId="0"/>
    <xf numFmtId="44" fontId="21" fillId="0" borderId="0" applyFont="0" applyFill="0" applyBorder="0" applyAlignment="0" applyProtection="0"/>
    <xf numFmtId="9" fontId="26"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44" fontId="20" fillId="0" borderId="0" applyFont="0" applyFill="0" applyBorder="0" applyAlignment="0" applyProtection="0"/>
    <xf numFmtId="0" fontId="34" fillId="0" borderId="0"/>
    <xf numFmtId="0" fontId="16" fillId="0" borderId="0"/>
    <xf numFmtId="9" fontId="16" fillId="0" borderId="0" applyFont="0" applyFill="0" applyBorder="0" applyAlignment="0" applyProtection="0"/>
    <xf numFmtId="44" fontId="16" fillId="0" borderId="0" applyFont="0" applyFill="0" applyBorder="0" applyAlignment="0" applyProtection="0"/>
    <xf numFmtId="44" fontId="26" fillId="0" borderId="0" applyFont="0" applyFill="0" applyBorder="0" applyAlignment="0" applyProtection="0"/>
    <xf numFmtId="0" fontId="57" fillId="0" borderId="0" applyNumberFormat="0" applyFill="0" applyBorder="0" applyAlignment="0" applyProtection="0">
      <alignment vertical="top"/>
      <protection locked="0"/>
    </xf>
    <xf numFmtId="43" fontId="16" fillId="0" borderId="0" applyFont="0" applyFill="0" applyBorder="0" applyAlignment="0" applyProtection="0"/>
    <xf numFmtId="0" fontId="58" fillId="0" borderId="0"/>
    <xf numFmtId="43" fontId="58" fillId="0" borderId="0" applyFont="0" applyFill="0" applyBorder="0" applyAlignment="0" applyProtection="0"/>
    <xf numFmtId="43" fontId="26" fillId="0" borderId="0" applyFont="0" applyFill="0" applyBorder="0" applyAlignment="0" applyProtection="0"/>
    <xf numFmtId="44" fontId="59" fillId="0" borderId="0" applyFont="0" applyFill="0" applyBorder="0" applyAlignment="0" applyProtection="0"/>
    <xf numFmtId="9" fontId="59" fillId="0" borderId="0" applyFont="0" applyFill="0" applyBorder="0" applyAlignment="0" applyProtection="0"/>
    <xf numFmtId="43" fontId="59" fillId="0" borderId="0" applyFont="0" applyFill="0" applyBorder="0" applyAlignment="0" applyProtection="0"/>
    <xf numFmtId="0" fontId="15" fillId="0" borderId="0"/>
    <xf numFmtId="9"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14" fillId="0" borderId="0"/>
    <xf numFmtId="9" fontId="14" fillId="0" borderId="0" applyFont="0" applyFill="0" applyBorder="0" applyAlignment="0" applyProtection="0"/>
    <xf numFmtId="0" fontId="12" fillId="0" borderId="0"/>
    <xf numFmtId="44" fontId="1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9" fontId="10" fillId="0" borderId="0" applyFont="0" applyFill="0" applyBorder="0" applyAlignment="0" applyProtection="0"/>
    <xf numFmtId="0" fontId="60" fillId="0" borderId="0" applyNumberFormat="0" applyFill="0" applyBorder="0" applyAlignment="0" applyProtection="0">
      <alignment vertical="top"/>
      <protection locked="0"/>
    </xf>
    <xf numFmtId="44" fontId="26" fillId="0" borderId="0" applyFont="0" applyFill="0" applyBorder="0" applyAlignment="0" applyProtection="0"/>
    <xf numFmtId="43" fontId="26" fillId="0" borderId="0" applyFont="0" applyFill="0" applyBorder="0" applyAlignment="0" applyProtection="0"/>
    <xf numFmtId="0" fontId="63" fillId="0" borderId="0"/>
    <xf numFmtId="44"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64" fillId="0" borderId="0">
      <alignment vertical="top"/>
    </xf>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0" fontId="26" fillId="0" borderId="0"/>
    <xf numFmtId="0" fontId="6" fillId="0" borderId="0"/>
    <xf numFmtId="0" fontId="66" fillId="0" borderId="0"/>
    <xf numFmtId="9" fontId="2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35" fillId="0" borderId="0"/>
    <xf numFmtId="0" fontId="6" fillId="0" borderId="0"/>
    <xf numFmtId="43" fontId="26" fillId="0" borderId="0" applyFont="0" applyFill="0" applyBorder="0" applyAlignment="0" applyProtection="0"/>
    <xf numFmtId="44" fontId="26"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9" fontId="6" fillId="0" borderId="0" applyFont="0" applyFill="0" applyBorder="0" applyAlignment="0" applyProtection="0"/>
    <xf numFmtId="0" fontId="58"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8"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2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38">
    <xf numFmtId="0" fontId="0" fillId="0" borderId="0" xfId="0"/>
    <xf numFmtId="0" fontId="27" fillId="0" borderId="0" xfId="0" applyFont="1" applyAlignment="1">
      <alignment horizontal="right"/>
    </xf>
    <xf numFmtId="0" fontId="25" fillId="0" borderId="0" xfId="3"/>
    <xf numFmtId="0" fontId="33" fillId="0" borderId="0" xfId="3" applyFont="1"/>
    <xf numFmtId="5" fontId="25" fillId="0" borderId="0" xfId="3" applyNumberFormat="1"/>
    <xf numFmtId="0" fontId="25" fillId="0" borderId="0" xfId="3" applyAlignment="1">
      <alignment wrapText="1"/>
    </xf>
    <xf numFmtId="5" fontId="33" fillId="0" borderId="0" xfId="3" applyNumberFormat="1" applyFont="1"/>
    <xf numFmtId="9" fontId="0" fillId="0" borderId="0" xfId="6" applyFont="1"/>
    <xf numFmtId="0" fontId="25" fillId="0" borderId="2" xfId="3" applyBorder="1"/>
    <xf numFmtId="37" fontId="33" fillId="0" borderId="2" xfId="3" applyNumberFormat="1" applyFont="1" applyBorder="1" applyAlignment="1">
      <alignment horizontal="right"/>
    </xf>
    <xf numFmtId="37" fontId="33" fillId="0" borderId="2" xfId="3" applyNumberFormat="1" applyFont="1" applyBorder="1"/>
    <xf numFmtId="167" fontId="33" fillId="0" borderId="2" xfId="3" applyNumberFormat="1" applyFont="1" applyBorder="1"/>
    <xf numFmtId="10" fontId="33" fillId="0" borderId="2" xfId="6" applyNumberFormat="1" applyFont="1" applyBorder="1" applyAlignment="1">
      <alignment horizontal="right"/>
    </xf>
    <xf numFmtId="167" fontId="25" fillId="0" borderId="0" xfId="3" applyNumberFormat="1"/>
    <xf numFmtId="0" fontId="33" fillId="0" borderId="0" xfId="3" applyFont="1" applyAlignment="1">
      <alignment horizontal="right"/>
    </xf>
    <xf numFmtId="167" fontId="33" fillId="0" borderId="0" xfId="3" applyNumberFormat="1" applyFont="1"/>
    <xf numFmtId="9" fontId="33" fillId="0" borderId="0" xfId="6" applyFont="1"/>
    <xf numFmtId="167" fontId="33" fillId="0" borderId="0" xfId="8" applyNumberFormat="1" applyFont="1"/>
    <xf numFmtId="0" fontId="25" fillId="0" borderId="0" xfId="3" applyAlignment="1">
      <alignment horizontal="right"/>
    </xf>
    <xf numFmtId="37" fontId="25" fillId="0" borderId="0" xfId="3" applyNumberFormat="1"/>
    <xf numFmtId="167" fontId="0" fillId="0" borderId="0" xfId="8" applyNumberFormat="1" applyFont="1"/>
    <xf numFmtId="49" fontId="29" fillId="2" borderId="3" xfId="0" applyNumberFormat="1" applyFont="1" applyFill="1" applyBorder="1" applyProtection="1">
      <protection locked="0"/>
    </xf>
    <xf numFmtId="49" fontId="29" fillId="2" borderId="4" xfId="0" applyNumberFormat="1" applyFont="1" applyFill="1" applyBorder="1" applyProtection="1">
      <protection locked="0"/>
    </xf>
    <xf numFmtId="49" fontId="29" fillId="2" borderId="5" xfId="0" applyNumberFormat="1" applyFont="1" applyFill="1" applyBorder="1" applyProtection="1">
      <protection locked="0"/>
    </xf>
    <xf numFmtId="0" fontId="26" fillId="0" borderId="0" xfId="20" applyFont="1"/>
    <xf numFmtId="0" fontId="27" fillId="0" borderId="0" xfId="20" applyFont="1" applyAlignment="1">
      <alignment horizontal="center"/>
    </xf>
    <xf numFmtId="0" fontId="27" fillId="0" borderId="0" xfId="20" applyFont="1" applyAlignment="1">
      <alignment horizontal="left"/>
    </xf>
    <xf numFmtId="0" fontId="26" fillId="0" borderId="0" xfId="20" applyFont="1" applyAlignment="1">
      <alignment horizontal="left"/>
    </xf>
    <xf numFmtId="0" fontId="26" fillId="0" borderId="0" xfId="20" applyFont="1" applyAlignment="1">
      <alignment horizontal="center"/>
    </xf>
    <xf numFmtId="0" fontId="27" fillId="0" borderId="0" xfId="20" applyFont="1" applyAlignment="1">
      <alignment horizontal="center" wrapText="1"/>
    </xf>
    <xf numFmtId="164" fontId="27" fillId="0" borderId="0" xfId="20" applyNumberFormat="1" applyFont="1" applyAlignment="1">
      <alignment horizontal="center" wrapText="1"/>
    </xf>
    <xf numFmtId="0" fontId="27" fillId="0" borderId="0" xfId="20" applyFont="1"/>
    <xf numFmtId="3" fontId="26" fillId="0" borderId="0" xfId="20" applyNumberFormat="1" applyFont="1"/>
    <xf numFmtId="3" fontId="27" fillId="6" borderId="2" xfId="20" applyNumberFormat="1" applyFont="1" applyFill="1" applyBorder="1"/>
    <xf numFmtId="7" fontId="27" fillId="0" borderId="0" xfId="20" applyNumberFormat="1" applyFont="1" applyAlignment="1">
      <alignment horizontal="center" wrapText="1"/>
    </xf>
    <xf numFmtId="164" fontId="26" fillId="0" borderId="0" xfId="20" applyNumberFormat="1" applyFont="1"/>
    <xf numFmtId="7" fontId="26" fillId="0" borderId="0" xfId="20" applyNumberFormat="1" applyFont="1"/>
    <xf numFmtId="0" fontId="27" fillId="0" borderId="0" xfId="20" applyFont="1" applyAlignment="1">
      <alignment horizontal="right"/>
    </xf>
    <xf numFmtId="3" fontId="26" fillId="0" borderId="2" xfId="20" applyNumberFormat="1" applyFont="1" applyBorder="1" applyProtection="1">
      <protection locked="0"/>
    </xf>
    <xf numFmtId="3" fontId="26" fillId="0" borderId="2" xfId="20" applyNumberFormat="1" applyFont="1" applyBorder="1"/>
    <xf numFmtId="167" fontId="27" fillId="6" borderId="2" xfId="20" applyNumberFormat="1" applyFont="1" applyFill="1" applyBorder="1"/>
    <xf numFmtId="3" fontId="27" fillId="0" borderId="0" xfId="20" applyNumberFormat="1" applyFont="1"/>
    <xf numFmtId="167" fontId="27" fillId="0" borderId="0" xfId="20" applyNumberFormat="1" applyFont="1"/>
    <xf numFmtId="167" fontId="26" fillId="7" borderId="0" xfId="20" applyNumberFormat="1" applyFont="1" applyFill="1"/>
    <xf numFmtId="167" fontId="26" fillId="0" borderId="0" xfId="20" applyNumberFormat="1" applyFont="1"/>
    <xf numFmtId="0" fontId="26" fillId="0" borderId="9" xfId="20" applyFont="1" applyBorder="1"/>
    <xf numFmtId="0" fontId="27" fillId="0" borderId="0" xfId="20" applyFont="1" applyAlignment="1">
      <alignment wrapText="1"/>
    </xf>
    <xf numFmtId="3" fontId="27" fillId="0" borderId="8" xfId="20" applyNumberFormat="1" applyFont="1" applyBorder="1"/>
    <xf numFmtId="3" fontId="26" fillId="0" borderId="8" xfId="20" applyNumberFormat="1" applyFont="1" applyBorder="1"/>
    <xf numFmtId="3" fontId="27" fillId="0" borderId="0" xfId="20" applyNumberFormat="1" applyFont="1" applyProtection="1">
      <protection locked="0"/>
    </xf>
    <xf numFmtId="49" fontId="30" fillId="0" borderId="0" xfId="20" applyNumberFormat="1" applyFont="1" applyAlignment="1">
      <alignment horizontal="left"/>
    </xf>
    <xf numFmtId="0" fontId="54" fillId="0" borderId="0" xfId="20" applyFont="1" applyAlignment="1">
      <alignment horizontal="center" wrapText="1"/>
    </xf>
    <xf numFmtId="49" fontId="26" fillId="7" borderId="0" xfId="20" applyNumberFormat="1" applyFont="1" applyFill="1" applyProtection="1">
      <protection locked="0"/>
    </xf>
    <xf numFmtId="3" fontId="27" fillId="6" borderId="6" xfId="20" applyNumberFormat="1" applyFont="1" applyFill="1" applyBorder="1"/>
    <xf numFmtId="0" fontId="27" fillId="0" borderId="9" xfId="20" applyFont="1" applyBorder="1"/>
    <xf numFmtId="3" fontId="26" fillId="0" borderId="7" xfId="20" applyNumberFormat="1" applyFont="1" applyBorder="1"/>
    <xf numFmtId="3" fontId="26" fillId="0" borderId="8" xfId="20" applyNumberFormat="1" applyFont="1" applyBorder="1" applyProtection="1">
      <protection locked="0"/>
    </xf>
    <xf numFmtId="0" fontId="26" fillId="0" borderId="8" xfId="20" applyFont="1" applyBorder="1"/>
    <xf numFmtId="164" fontId="27" fillId="0" borderId="0" xfId="20" applyNumberFormat="1" applyFont="1"/>
    <xf numFmtId="10" fontId="27" fillId="0" borderId="0" xfId="24" applyNumberFormat="1" applyFont="1" applyFill="1" applyBorder="1" applyProtection="1"/>
    <xf numFmtId="10" fontId="27" fillId="6" borderId="2" xfId="20" applyNumberFormat="1" applyFont="1" applyFill="1" applyBorder="1"/>
    <xf numFmtId="166" fontId="26" fillId="0" borderId="0" xfId="25" applyNumberFormat="1" applyFont="1" applyFill="1" applyBorder="1"/>
    <xf numFmtId="10" fontId="27" fillId="0" borderId="0" xfId="20" applyNumberFormat="1" applyFont="1"/>
    <xf numFmtId="10" fontId="26" fillId="0" borderId="0" xfId="26" applyNumberFormat="1" applyFont="1" applyFill="1" applyBorder="1"/>
    <xf numFmtId="168" fontId="27" fillId="6" borderId="2" xfId="19" applyNumberFormat="1" applyFont="1" applyFill="1" applyBorder="1"/>
    <xf numFmtId="49" fontId="26" fillId="0" borderId="9" xfId="20" applyNumberFormat="1" applyFont="1" applyBorder="1" applyProtection="1">
      <protection locked="0"/>
    </xf>
    <xf numFmtId="3" fontId="0" fillId="0" borderId="0" xfId="0" applyNumberFormat="1" applyProtection="1">
      <protection locked="0"/>
    </xf>
    <xf numFmtId="168" fontId="27" fillId="6" borderId="6" xfId="19" applyNumberFormat="1" applyFont="1" applyFill="1" applyBorder="1"/>
    <xf numFmtId="168" fontId="27" fillId="6" borderId="2" xfId="19" applyNumberFormat="1" applyFont="1" applyFill="1" applyBorder="1" applyProtection="1"/>
    <xf numFmtId="3" fontId="27" fillId="0" borderId="2" xfId="20" applyNumberFormat="1" applyFont="1" applyBorder="1"/>
    <xf numFmtId="49" fontId="29" fillId="0" borderId="0" xfId="0" applyNumberFormat="1" applyFont="1" applyProtection="1">
      <protection locked="0"/>
    </xf>
    <xf numFmtId="168" fontId="27" fillId="0" borderId="2" xfId="19" applyNumberFormat="1" applyFont="1" applyFill="1" applyBorder="1"/>
    <xf numFmtId="0" fontId="18" fillId="0" borderId="0" xfId="3" applyFont="1"/>
    <xf numFmtId="9" fontId="0" fillId="0" borderId="0" xfId="6" applyFont="1" applyBorder="1"/>
    <xf numFmtId="0" fontId="15" fillId="0" borderId="0" xfId="42"/>
    <xf numFmtId="0" fontId="33" fillId="0" borderId="0" xfId="42" applyFont="1"/>
    <xf numFmtId="0" fontId="25" fillId="8" borderId="0" xfId="3" applyFill="1"/>
    <xf numFmtId="3" fontId="27" fillId="5" borderId="6" xfId="20" applyNumberFormat="1" applyFont="1" applyFill="1" applyBorder="1"/>
    <xf numFmtId="168" fontId="27" fillId="5" borderId="6" xfId="19" applyNumberFormat="1" applyFont="1" applyFill="1" applyBorder="1"/>
    <xf numFmtId="168" fontId="27" fillId="5" borderId="2" xfId="19" applyNumberFormat="1" applyFont="1" applyFill="1" applyBorder="1"/>
    <xf numFmtId="169" fontId="25" fillId="0" borderId="0" xfId="3" applyNumberFormat="1"/>
    <xf numFmtId="0" fontId="13" fillId="0" borderId="0" xfId="3" applyFont="1"/>
    <xf numFmtId="167" fontId="0" fillId="0" borderId="0" xfId="8" applyNumberFormat="1" applyFont="1" applyAlignment="1"/>
    <xf numFmtId="10" fontId="33" fillId="0" borderId="2" xfId="3" applyNumberFormat="1" applyFont="1" applyBorder="1"/>
    <xf numFmtId="0" fontId="26" fillId="0" borderId="0" xfId="2" applyAlignment="1">
      <alignment horizontal="center"/>
    </xf>
    <xf numFmtId="164" fontId="26" fillId="2" borderId="17" xfId="2" applyNumberFormat="1" applyFill="1" applyBorder="1" applyProtection="1">
      <protection locked="0"/>
    </xf>
    <xf numFmtId="7" fontId="26" fillId="2" borderId="17" xfId="2" applyNumberFormat="1" applyFill="1" applyBorder="1"/>
    <xf numFmtId="167" fontId="0" fillId="0" borderId="0" xfId="0" applyNumberFormat="1"/>
    <xf numFmtId="0" fontId="26" fillId="0" borderId="0" xfId="2" applyAlignment="1">
      <alignment horizontal="left"/>
    </xf>
    <xf numFmtId="168" fontId="27" fillId="0" borderId="0" xfId="58" applyNumberFormat="1" applyFont="1" applyAlignment="1">
      <alignment horizontal="center" wrapText="1"/>
    </xf>
    <xf numFmtId="164" fontId="26" fillId="3" borderId="19" xfId="2" applyNumberFormat="1" applyFill="1" applyBorder="1"/>
    <xf numFmtId="3" fontId="26" fillId="2" borderId="17" xfId="2" applyNumberFormat="1" applyFill="1" applyBorder="1" applyProtection="1">
      <protection locked="0"/>
    </xf>
    <xf numFmtId="167" fontId="26" fillId="0" borderId="0" xfId="2" applyNumberFormat="1"/>
    <xf numFmtId="0" fontId="0" fillId="0" borderId="0" xfId="0" applyAlignment="1">
      <alignment horizontal="left"/>
    </xf>
    <xf numFmtId="0" fontId="26" fillId="0" borderId="0" xfId="0" applyFont="1"/>
    <xf numFmtId="0" fontId="27" fillId="0" borderId="0" xfId="0" applyFont="1"/>
    <xf numFmtId="0" fontId="27" fillId="0" borderId="0" xfId="0" applyFont="1" applyAlignment="1">
      <alignment horizontal="centerContinuous"/>
    </xf>
    <xf numFmtId="0" fontId="0" fillId="0" borderId="0" xfId="0" applyAlignment="1">
      <alignment horizontal="centerContinuous"/>
    </xf>
    <xf numFmtId="0" fontId="27" fillId="0" borderId="0" xfId="0" applyFont="1" applyAlignment="1">
      <alignment horizontal="left"/>
    </xf>
    <xf numFmtId="0" fontId="27" fillId="0" borderId="0" xfId="0" applyFont="1" applyAlignment="1">
      <alignment horizontal="center" wrapText="1"/>
    </xf>
    <xf numFmtId="0" fontId="0" fillId="0" borderId="10" xfId="0" applyBorder="1" applyAlignment="1">
      <alignment horizontal="left"/>
    </xf>
    <xf numFmtId="0" fontId="27" fillId="0" borderId="10" xfId="0" applyFont="1" applyBorder="1"/>
    <xf numFmtId="0" fontId="0" fillId="0" borderId="10" xfId="0" applyBorder="1"/>
    <xf numFmtId="0" fontId="0" fillId="0" borderId="12" xfId="0" applyBorder="1"/>
    <xf numFmtId="3" fontId="0" fillId="2" borderId="17" xfId="0" applyNumberFormat="1" applyFill="1" applyBorder="1" applyProtection="1">
      <protection locked="0"/>
    </xf>
    <xf numFmtId="164" fontId="0" fillId="2" borderId="17" xfId="0" applyNumberFormat="1" applyFill="1" applyBorder="1" applyProtection="1">
      <protection locked="0"/>
    </xf>
    <xf numFmtId="164" fontId="0" fillId="2" borderId="17" xfId="0" applyNumberFormat="1" applyFill="1" applyBorder="1"/>
    <xf numFmtId="3" fontId="0" fillId="2" borderId="18" xfId="0" applyNumberFormat="1" applyFill="1" applyBorder="1" applyProtection="1">
      <protection locked="0"/>
    </xf>
    <xf numFmtId="164" fontId="0" fillId="2" borderId="18" xfId="0" applyNumberFormat="1" applyFill="1" applyBorder="1" applyProtection="1">
      <protection locked="0"/>
    </xf>
    <xf numFmtId="3" fontId="0" fillId="2" borderId="17" xfId="0" applyNumberFormat="1" applyFill="1" applyBorder="1"/>
    <xf numFmtId="3" fontId="0" fillId="3" borderId="17" xfId="0" applyNumberFormat="1" applyFill="1" applyBorder="1"/>
    <xf numFmtId="164" fontId="0" fillId="3" borderId="17" xfId="0" applyNumberFormat="1" applyFill="1" applyBorder="1"/>
    <xf numFmtId="164" fontId="0" fillId="3" borderId="19" xfId="0" applyNumberFormat="1" applyFill="1" applyBorder="1"/>
    <xf numFmtId="0" fontId="0" fillId="0" borderId="20" xfId="0" applyBorder="1"/>
    <xf numFmtId="3" fontId="0" fillId="2" borderId="21" xfId="0" applyNumberFormat="1" applyFill="1" applyBorder="1"/>
    <xf numFmtId="164" fontId="0" fillId="2" borderId="13" xfId="0" applyNumberFormat="1" applyFill="1" applyBorder="1" applyProtection="1">
      <protection locked="0"/>
    </xf>
    <xf numFmtId="164" fontId="0" fillId="5" borderId="13" xfId="0" applyNumberFormat="1" applyFill="1" applyBorder="1" applyProtection="1">
      <protection locked="0"/>
    </xf>
    <xf numFmtId="0" fontId="27" fillId="0" borderId="0" xfId="2" applyFont="1"/>
    <xf numFmtId="0" fontId="27" fillId="0" borderId="0" xfId="2" applyFont="1" applyAlignment="1">
      <alignment horizontal="left"/>
    </xf>
    <xf numFmtId="0" fontId="27" fillId="0" borderId="0" xfId="2" applyFont="1" applyAlignment="1">
      <alignment horizontal="center" wrapText="1"/>
    </xf>
    <xf numFmtId="0" fontId="26" fillId="0" borderId="10" xfId="2" applyBorder="1" applyAlignment="1">
      <alignment horizontal="left"/>
    </xf>
    <xf numFmtId="0" fontId="27" fillId="0" borderId="10" xfId="2" applyFont="1" applyBorder="1"/>
    <xf numFmtId="0" fontId="26" fillId="0" borderId="10" xfId="2" applyBorder="1"/>
    <xf numFmtId="0" fontId="26" fillId="0" borderId="12" xfId="2" applyBorder="1"/>
    <xf numFmtId="164" fontId="26" fillId="2" borderId="17" xfId="2" applyNumberFormat="1" applyFill="1" applyBorder="1"/>
    <xf numFmtId="3" fontId="26" fillId="2" borderId="17" xfId="2" applyNumberFormat="1" applyFill="1" applyBorder="1"/>
    <xf numFmtId="3" fontId="26" fillId="3" borderId="17" xfId="2" applyNumberFormat="1" applyFill="1" applyBorder="1"/>
    <xf numFmtId="164" fontId="26" fillId="3" borderId="17" xfId="2" applyNumberFormat="1" applyFill="1" applyBorder="1"/>
    <xf numFmtId="0" fontId="26" fillId="0" borderId="20" xfId="2" applyBorder="1"/>
    <xf numFmtId="3" fontId="26" fillId="2" borderId="21" xfId="2" applyNumberFormat="1" applyFill="1" applyBorder="1"/>
    <xf numFmtId="164" fontId="26" fillId="2" borderId="13" xfId="2" applyNumberFormat="1" applyFill="1" applyBorder="1" applyProtection="1">
      <protection locked="0"/>
    </xf>
    <xf numFmtId="164" fontId="0" fillId="0" borderId="0" xfId="0" applyNumberFormat="1"/>
    <xf numFmtId="0" fontId="26" fillId="0" borderId="0" xfId="2"/>
    <xf numFmtId="0" fontId="27" fillId="0" borderId="0" xfId="2" applyFont="1" applyAlignment="1">
      <alignment horizontal="right"/>
    </xf>
    <xf numFmtId="3" fontId="27" fillId="5" borderId="6" xfId="20" applyNumberFormat="1" applyFont="1" applyFill="1" applyBorder="1" applyAlignment="1">
      <alignment horizontal="right" vertical="center"/>
    </xf>
    <xf numFmtId="5" fontId="33" fillId="0" borderId="2" xfId="3" applyNumberFormat="1" applyFont="1" applyBorder="1" applyAlignment="1">
      <alignment horizontal="right"/>
    </xf>
    <xf numFmtId="0" fontId="25" fillId="0" borderId="11" xfId="3" applyBorder="1"/>
    <xf numFmtId="0" fontId="25" fillId="9" borderId="0" xfId="3" applyFill="1"/>
    <xf numFmtId="0" fontId="19" fillId="9" borderId="0" xfId="3" applyFont="1" applyFill="1"/>
    <xf numFmtId="9" fontId="25" fillId="9" borderId="0" xfId="1" applyFont="1" applyFill="1"/>
    <xf numFmtId="10" fontId="25" fillId="9" borderId="0" xfId="1" applyNumberFormat="1" applyFont="1" applyFill="1"/>
    <xf numFmtId="0" fontId="39" fillId="9" borderId="0" xfId="3" applyFont="1" applyFill="1" applyAlignment="1">
      <alignment horizontal="left" vertical="center"/>
    </xf>
    <xf numFmtId="166" fontId="0" fillId="9" borderId="0" xfId="5" applyNumberFormat="1" applyFont="1" applyFill="1"/>
    <xf numFmtId="166" fontId="25" fillId="9" borderId="0" xfId="3" applyNumberFormat="1" applyFill="1"/>
    <xf numFmtId="9" fontId="0" fillId="9" borderId="0" xfId="6" applyFont="1" applyFill="1"/>
    <xf numFmtId="0" fontId="47" fillId="9" borderId="0" xfId="3" applyFont="1" applyFill="1"/>
    <xf numFmtId="38" fontId="25" fillId="9" borderId="0" xfId="3" applyNumberFormat="1" applyFill="1"/>
    <xf numFmtId="0" fontId="38" fillId="9" borderId="1" xfId="3" applyFont="1" applyFill="1" applyBorder="1" applyAlignment="1">
      <alignment horizontal="center"/>
    </xf>
    <xf numFmtId="0" fontId="38" fillId="9" borderId="1" xfId="3" applyFont="1" applyFill="1" applyBorder="1" applyAlignment="1">
      <alignment horizontal="center" wrapText="1"/>
    </xf>
    <xf numFmtId="5" fontId="25" fillId="9" borderId="0" xfId="3" applyNumberFormat="1" applyFill="1"/>
    <xf numFmtId="166" fontId="43" fillId="9" borderId="0" xfId="5" applyNumberFormat="1" applyFont="1" applyFill="1"/>
    <xf numFmtId="0" fontId="45" fillId="9" borderId="0" xfId="3" applyFont="1" applyFill="1"/>
    <xf numFmtId="38" fontId="45" fillId="9" borderId="0" xfId="3" applyNumberFormat="1" applyFont="1" applyFill="1"/>
    <xf numFmtId="5" fontId="45" fillId="9" borderId="0" xfId="3" applyNumberFormat="1" applyFont="1" applyFill="1"/>
    <xf numFmtId="0" fontId="46" fillId="9" borderId="0" xfId="3" applyFont="1" applyFill="1"/>
    <xf numFmtId="166" fontId="45" fillId="9" borderId="0" xfId="3" applyNumberFormat="1" applyFont="1" applyFill="1"/>
    <xf numFmtId="168" fontId="42" fillId="9" borderId="0" xfId="8" applyNumberFormat="1" applyFont="1" applyFill="1"/>
    <xf numFmtId="44" fontId="45" fillId="9" borderId="0" xfId="8" applyFont="1" applyFill="1"/>
    <xf numFmtId="166" fontId="44" fillId="9" borderId="0" xfId="3" applyNumberFormat="1" applyFont="1" applyFill="1"/>
    <xf numFmtId="168" fontId="44" fillId="9" borderId="0" xfId="8" applyNumberFormat="1" applyFont="1" applyFill="1"/>
    <xf numFmtId="168" fontId="42" fillId="9" borderId="0" xfId="3" applyNumberFormat="1" applyFont="1" applyFill="1"/>
    <xf numFmtId="168" fontId="43" fillId="9" borderId="0" xfId="3" applyNumberFormat="1" applyFont="1" applyFill="1"/>
    <xf numFmtId="0" fontId="41" fillId="9" borderId="0" xfId="3" applyFont="1" applyFill="1"/>
    <xf numFmtId="10" fontId="40" fillId="9" borderId="0" xfId="6" applyNumberFormat="1" applyFont="1" applyFill="1"/>
    <xf numFmtId="0" fontId="8" fillId="0" borderId="0" xfId="7" applyFont="1"/>
    <xf numFmtId="0" fontId="37" fillId="0" borderId="0" xfId="7" applyFont="1"/>
    <xf numFmtId="38" fontId="8" fillId="0" borderId="0" xfId="7" applyNumberFormat="1" applyFont="1"/>
    <xf numFmtId="168" fontId="8" fillId="0" borderId="0" xfId="55" applyNumberFormat="1" applyFont="1"/>
    <xf numFmtId="167" fontId="33" fillId="0" borderId="2" xfId="8" applyNumberFormat="1" applyFont="1" applyFill="1" applyBorder="1"/>
    <xf numFmtId="10" fontId="33" fillId="0" borderId="2" xfId="6" applyNumberFormat="1" applyFont="1" applyFill="1" applyBorder="1" applyAlignment="1">
      <alignment horizontal="right"/>
    </xf>
    <xf numFmtId="0" fontId="25" fillId="0" borderId="1" xfId="3" applyBorder="1"/>
    <xf numFmtId="0" fontId="55" fillId="0" borderId="0" xfId="3" applyFont="1"/>
    <xf numFmtId="0" fontId="39" fillId="0" borderId="0" xfId="0" applyFont="1" applyAlignment="1">
      <alignment horizontal="left" vertical="center" wrapText="1"/>
    </xf>
    <xf numFmtId="9" fontId="25" fillId="0" borderId="0" xfId="1" applyFont="1" applyFill="1"/>
    <xf numFmtId="9" fontId="25" fillId="0" borderId="0" xfId="3" applyNumberFormat="1"/>
    <xf numFmtId="0" fontId="38" fillId="0" borderId="0" xfId="3" applyFont="1"/>
    <xf numFmtId="0" fontId="25" fillId="0" borderId="2" xfId="3" applyBorder="1" applyAlignment="1">
      <alignment horizontal="right"/>
    </xf>
    <xf numFmtId="0" fontId="19" fillId="0" borderId="2" xfId="3" applyFont="1" applyBorder="1" applyAlignment="1">
      <alignment horizontal="right"/>
    </xf>
    <xf numFmtId="6" fontId="25" fillId="0" borderId="0" xfId="3" applyNumberFormat="1"/>
    <xf numFmtId="0" fontId="25" fillId="0" borderId="3" xfId="3" applyBorder="1" applyAlignment="1">
      <alignment horizontal="right"/>
    </xf>
    <xf numFmtId="0" fontId="25" fillId="0" borderId="2" xfId="3" applyBorder="1" applyAlignment="1">
      <alignment horizontal="center" wrapText="1"/>
    </xf>
    <xf numFmtId="0" fontId="18" fillId="0" borderId="2" xfId="3" applyFont="1" applyBorder="1" applyAlignment="1">
      <alignment horizontal="center" wrapText="1"/>
    </xf>
    <xf numFmtId="169" fontId="0" fillId="0" borderId="0" xfId="6" applyNumberFormat="1" applyFont="1" applyFill="1"/>
    <xf numFmtId="169" fontId="17" fillId="0" borderId="0" xfId="3" applyNumberFormat="1" applyFont="1"/>
    <xf numFmtId="0" fontId="18" fillId="0" borderId="2" xfId="3" applyFont="1" applyBorder="1" applyAlignment="1">
      <alignment horizontal="right"/>
    </xf>
    <xf numFmtId="0" fontId="18" fillId="0" borderId="2" xfId="3" applyFont="1" applyBorder="1" applyAlignment="1">
      <alignment wrapText="1"/>
    </xf>
    <xf numFmtId="166" fontId="0" fillId="0" borderId="0" xfId="18" applyNumberFormat="1" applyFont="1"/>
    <xf numFmtId="168" fontId="25" fillId="0" borderId="0" xfId="3" applyNumberFormat="1"/>
    <xf numFmtId="167" fontId="0" fillId="0" borderId="0" xfId="6" applyNumberFormat="1" applyFont="1" applyAlignment="1"/>
    <xf numFmtId="3" fontId="0" fillId="0" borderId="0" xfId="0" applyNumberFormat="1"/>
    <xf numFmtId="3" fontId="25" fillId="0" borderId="0" xfId="3" applyNumberFormat="1"/>
    <xf numFmtId="0" fontId="7" fillId="0" borderId="2" xfId="3" applyFont="1" applyBorder="1" applyAlignment="1">
      <alignment horizontal="center" wrapText="1"/>
    </xf>
    <xf numFmtId="168" fontId="26" fillId="0" borderId="0" xfId="20" applyNumberFormat="1" applyFont="1"/>
    <xf numFmtId="0" fontId="0" fillId="0" borderId="0" xfId="0" applyAlignment="1">
      <alignment horizontal="center"/>
    </xf>
    <xf numFmtId="37" fontId="27" fillId="6" borderId="2" xfId="19" applyNumberFormat="1" applyFont="1" applyFill="1" applyBorder="1"/>
    <xf numFmtId="168" fontId="27" fillId="6" borderId="11" xfId="58" applyNumberFormat="1" applyFont="1" applyFill="1" applyBorder="1"/>
    <xf numFmtId="167" fontId="0" fillId="0" borderId="0" xfId="1" applyNumberFormat="1" applyFont="1" applyBorder="1"/>
    <xf numFmtId="169" fontId="25" fillId="0" borderId="0" xfId="1" applyNumberFormat="1" applyFont="1"/>
    <xf numFmtId="0" fontId="33" fillId="10" borderId="2" xfId="3" applyFont="1" applyFill="1" applyBorder="1" applyAlignment="1">
      <alignment horizontal="center" wrapText="1"/>
    </xf>
    <xf numFmtId="0" fontId="33" fillId="0" borderId="2" xfId="3" applyFont="1" applyBorder="1" applyAlignment="1">
      <alignment horizontal="left" wrapText="1"/>
    </xf>
    <xf numFmtId="0" fontId="5" fillId="0" borderId="2" xfId="3" applyFont="1" applyBorder="1" applyAlignment="1">
      <alignment horizontal="left" wrapText="1"/>
    </xf>
    <xf numFmtId="0" fontId="67" fillId="0" borderId="0" xfId="0" applyFont="1"/>
    <xf numFmtId="3" fontId="5" fillId="0" borderId="2" xfId="3" applyNumberFormat="1" applyFont="1" applyBorder="1"/>
    <xf numFmtId="5" fontId="5" fillId="0" borderId="2" xfId="19" applyNumberFormat="1" applyFont="1" applyFill="1" applyBorder="1" applyAlignment="1"/>
    <xf numFmtId="10" fontId="5" fillId="0" borderId="2" xfId="6" applyNumberFormat="1" applyFont="1" applyFill="1" applyBorder="1" applyAlignment="1"/>
    <xf numFmtId="167" fontId="5" fillId="0" borderId="2" xfId="19" applyNumberFormat="1" applyFont="1" applyFill="1" applyBorder="1" applyAlignment="1"/>
    <xf numFmtId="167" fontId="5" fillId="0" borderId="2" xfId="18" applyNumberFormat="1" applyFont="1" applyFill="1" applyBorder="1" applyAlignment="1"/>
    <xf numFmtId="166" fontId="33" fillId="0" borderId="2" xfId="18" applyNumberFormat="1" applyFont="1" applyFill="1" applyBorder="1" applyAlignment="1"/>
    <xf numFmtId="5" fontId="33" fillId="0" borderId="2" xfId="19" applyNumberFormat="1" applyFont="1" applyFill="1" applyBorder="1" applyAlignment="1"/>
    <xf numFmtId="9" fontId="33" fillId="0" borderId="2" xfId="1" applyFont="1" applyFill="1" applyBorder="1" applyAlignment="1"/>
    <xf numFmtId="167" fontId="33" fillId="0" borderId="2" xfId="18" applyNumberFormat="1" applyFont="1" applyFill="1" applyBorder="1" applyAlignment="1"/>
    <xf numFmtId="0" fontId="4" fillId="0" borderId="2" xfId="3" applyFont="1" applyBorder="1" applyAlignment="1">
      <alignment wrapText="1"/>
    </xf>
    <xf numFmtId="166" fontId="0" fillId="0" borderId="0" xfId="84" applyNumberFormat="1" applyFont="1"/>
    <xf numFmtId="3" fontId="0" fillId="5" borderId="17" xfId="0" applyNumberFormat="1" applyFill="1" applyBorder="1"/>
    <xf numFmtId="0" fontId="26" fillId="0" borderId="0" xfId="2" applyAlignment="1">
      <alignment horizontal="centerContinuous"/>
    </xf>
    <xf numFmtId="0" fontId="27" fillId="0" borderId="0" xfId="2" applyFont="1" applyAlignment="1">
      <alignment horizontal="centerContinuous"/>
    </xf>
    <xf numFmtId="167" fontId="26" fillId="2" borderId="17" xfId="2" applyNumberFormat="1" applyFill="1" applyBorder="1"/>
    <xf numFmtId="167" fontId="0" fillId="2" borderId="17" xfId="0" applyNumberFormat="1" applyFill="1" applyBorder="1"/>
    <xf numFmtId="166" fontId="0" fillId="0" borderId="0" xfId="18" applyNumberFormat="1" applyFont="1" applyFill="1"/>
    <xf numFmtId="168" fontId="0" fillId="0" borderId="0" xfId="19" applyNumberFormat="1" applyFont="1" applyFill="1" applyBorder="1"/>
    <xf numFmtId="166" fontId="0" fillId="0" borderId="0" xfId="18" applyNumberFormat="1" applyFont="1" applyBorder="1"/>
    <xf numFmtId="166" fontId="0" fillId="0" borderId="0" xfId="18" applyNumberFormat="1" applyFont="1" applyFill="1" applyBorder="1"/>
    <xf numFmtId="167" fontId="0" fillId="0" borderId="20" xfId="0" applyNumberFormat="1" applyBorder="1"/>
    <xf numFmtId="167" fontId="46" fillId="0" borderId="0" xfId="0" applyNumberFormat="1" applyFont="1"/>
    <xf numFmtId="0" fontId="46" fillId="0" borderId="0" xfId="0" applyFont="1" applyAlignment="1">
      <alignment horizontal="center"/>
    </xf>
    <xf numFmtId="0" fontId="46" fillId="0" borderId="0" xfId="0" applyFont="1"/>
    <xf numFmtId="3" fontId="46" fillId="0" borderId="0" xfId="0" applyNumberFormat="1" applyFont="1"/>
    <xf numFmtId="164" fontId="26" fillId="2" borderId="13" xfId="0" applyNumberFormat="1" applyFont="1" applyFill="1" applyBorder="1" applyProtection="1">
      <protection locked="0"/>
    </xf>
    <xf numFmtId="43" fontId="0" fillId="0" borderId="0" xfId="0" applyNumberFormat="1"/>
    <xf numFmtId="167" fontId="0" fillId="2" borderId="13" xfId="0" applyNumberFormat="1" applyFill="1" applyBorder="1" applyProtection="1">
      <protection locked="0"/>
    </xf>
    <xf numFmtId="167" fontId="27" fillId="0" borderId="0" xfId="0" applyNumberFormat="1" applyFont="1" applyAlignment="1">
      <alignment horizontal="center" wrapText="1"/>
    </xf>
    <xf numFmtId="167" fontId="26" fillId="0" borderId="12" xfId="2" applyNumberFormat="1" applyBorder="1"/>
    <xf numFmtId="49" fontId="26" fillId="2" borderId="13" xfId="0" quotePrefix="1" applyNumberFormat="1" applyFont="1" applyFill="1" applyBorder="1" applyAlignment="1" applyProtection="1">
      <alignment horizontal="left"/>
      <protection locked="0"/>
    </xf>
    <xf numFmtId="49" fontId="34" fillId="2" borderId="14" xfId="0" quotePrefix="1" applyNumberFormat="1" applyFont="1" applyFill="1" applyBorder="1" applyAlignment="1" applyProtection="1">
      <alignment horizontal="left"/>
      <protection locked="0"/>
    </xf>
    <xf numFmtId="49" fontId="34" fillId="2" borderId="15" xfId="0" quotePrefix="1" applyNumberFormat="1" applyFont="1" applyFill="1" applyBorder="1" applyAlignment="1" applyProtection="1">
      <alignment horizontal="left"/>
      <protection locked="0"/>
    </xf>
    <xf numFmtId="49" fontId="26" fillId="2" borderId="13" xfId="0" applyNumberFormat="1" applyFont="1" applyFill="1" applyBorder="1" applyAlignment="1" applyProtection="1">
      <alignment horizontal="left"/>
      <protection locked="0"/>
    </xf>
    <xf numFmtId="49" fontId="34" fillId="2" borderId="14" xfId="0" applyNumberFormat="1" applyFont="1" applyFill="1" applyBorder="1" applyAlignment="1" applyProtection="1">
      <alignment horizontal="left"/>
      <protection locked="0"/>
    </xf>
    <xf numFmtId="49" fontId="34" fillId="2" borderId="15" xfId="0" applyNumberFormat="1" applyFont="1" applyFill="1" applyBorder="1" applyAlignment="1" applyProtection="1">
      <alignment horizontal="left"/>
      <protection locked="0"/>
    </xf>
    <xf numFmtId="37" fontId="26" fillId="2" borderId="13" xfId="2" applyNumberFormat="1" applyFill="1" applyBorder="1" applyProtection="1">
      <protection locked="0"/>
    </xf>
    <xf numFmtId="7" fontId="58" fillId="0" borderId="0" xfId="0" applyNumberFormat="1" applyFont="1"/>
    <xf numFmtId="7" fontId="26" fillId="0" borderId="0" xfId="2" applyNumberFormat="1"/>
    <xf numFmtId="168" fontId="0" fillId="0" borderId="0" xfId="58" applyNumberFormat="1" applyFont="1"/>
    <xf numFmtId="168" fontId="0" fillId="2" borderId="13" xfId="58" applyNumberFormat="1" applyFont="1" applyFill="1" applyBorder="1" applyProtection="1"/>
    <xf numFmtId="168" fontId="0" fillId="2" borderId="13" xfId="58" applyNumberFormat="1" applyFont="1" applyFill="1" applyBorder="1" applyProtection="1">
      <protection locked="0"/>
    </xf>
    <xf numFmtId="168" fontId="0" fillId="0" borderId="12" xfId="58" applyNumberFormat="1" applyFont="1" applyFill="1" applyBorder="1"/>
    <xf numFmtId="168" fontId="0" fillId="0" borderId="12" xfId="58" applyNumberFormat="1" applyFont="1" applyBorder="1"/>
    <xf numFmtId="168" fontId="0" fillId="0" borderId="20" xfId="58" applyNumberFormat="1" applyFont="1" applyBorder="1"/>
    <xf numFmtId="168" fontId="27" fillId="0" borderId="0" xfId="58" applyNumberFormat="1" applyFont="1" applyBorder="1" applyAlignment="1">
      <alignment horizontal="center" wrapText="1"/>
    </xf>
    <xf numFmtId="168" fontId="0" fillId="3" borderId="0" xfId="58" applyNumberFormat="1" applyFont="1" applyFill="1" applyBorder="1"/>
    <xf numFmtId="168" fontId="0" fillId="3" borderId="0" xfId="58" applyNumberFormat="1" applyFont="1" applyFill="1" applyBorder="1" applyProtection="1"/>
    <xf numFmtId="168" fontId="0" fillId="2" borderId="17" xfId="58" applyNumberFormat="1" applyFont="1" applyFill="1" applyBorder="1" applyProtection="1">
      <protection locked="0"/>
    </xf>
    <xf numFmtId="168" fontId="0" fillId="3" borderId="0" xfId="58" applyNumberFormat="1" applyFont="1" applyFill="1" applyBorder="1" applyProtection="1">
      <protection locked="0"/>
    </xf>
    <xf numFmtId="168" fontId="0" fillId="2" borderId="17" xfId="58" applyNumberFormat="1" applyFont="1" applyFill="1" applyBorder="1"/>
    <xf numFmtId="168" fontId="0" fillId="2" borderId="21" xfId="58" applyNumberFormat="1" applyFont="1" applyFill="1" applyBorder="1"/>
    <xf numFmtId="166" fontId="0" fillId="0" borderId="0" xfId="84" applyNumberFormat="1" applyFont="1" applyAlignment="1">
      <alignment horizontal="centerContinuous"/>
    </xf>
    <xf numFmtId="166" fontId="27" fillId="0" borderId="0" xfId="84" applyNumberFormat="1" applyFont="1" applyAlignment="1">
      <alignment horizontal="center" wrapText="1"/>
    </xf>
    <xf numFmtId="168" fontId="0" fillId="0" borderId="20" xfId="58" applyNumberFormat="1" applyFont="1" applyFill="1" applyBorder="1"/>
    <xf numFmtId="0" fontId="35" fillId="0" borderId="23" xfId="0" applyFont="1" applyBorder="1"/>
    <xf numFmtId="0" fontId="35" fillId="8" borderId="23" xfId="0" applyFont="1" applyFill="1" applyBorder="1"/>
    <xf numFmtId="167" fontId="25" fillId="8" borderId="0" xfId="19" applyNumberFormat="1" applyFont="1" applyFill="1" applyAlignment="1">
      <alignment horizontal="right" vertical="top"/>
    </xf>
    <xf numFmtId="0" fontId="33" fillId="10" borderId="23" xfId="3" applyFont="1" applyFill="1" applyBorder="1" applyAlignment="1">
      <alignment horizontal="center" wrapText="1"/>
    </xf>
    <xf numFmtId="0" fontId="35" fillId="0" borderId="23" xfId="0" applyFont="1" applyBorder="1" applyAlignment="1">
      <alignment horizontal="right"/>
    </xf>
    <xf numFmtId="0" fontId="2" fillId="10" borderId="23" xfId="7" applyFont="1" applyFill="1" applyBorder="1"/>
    <xf numFmtId="0" fontId="71" fillId="10" borderId="23" xfId="0" applyFont="1" applyFill="1" applyBorder="1" applyAlignment="1">
      <alignment horizontal="center" wrapText="1"/>
    </xf>
    <xf numFmtId="3" fontId="2" fillId="0" borderId="0" xfId="3" applyNumberFormat="1" applyFont="1"/>
    <xf numFmtId="0" fontId="2" fillId="0" borderId="0" xfId="3" applyFont="1"/>
    <xf numFmtId="0" fontId="2" fillId="0" borderId="0" xfId="3" applyFont="1" applyAlignment="1">
      <alignment horizontal="center" wrapText="1"/>
    </xf>
    <xf numFmtId="0" fontId="56" fillId="0" borderId="0" xfId="0" applyFont="1"/>
    <xf numFmtId="0" fontId="56" fillId="0" borderId="23" xfId="0" applyFont="1" applyBorder="1"/>
    <xf numFmtId="0" fontId="56" fillId="0" borderId="23" xfId="0" applyFont="1" applyBorder="1" applyAlignment="1">
      <alignment horizontal="right"/>
    </xf>
    <xf numFmtId="0" fontId="56" fillId="8" borderId="23" xfId="0" applyFont="1" applyFill="1" applyBorder="1"/>
    <xf numFmtId="0" fontId="67" fillId="10" borderId="23" xfId="7" applyFont="1" applyFill="1" applyBorder="1"/>
    <xf numFmtId="167" fontId="2" fillId="0" borderId="23" xfId="55" applyNumberFormat="1" applyFont="1" applyBorder="1"/>
    <xf numFmtId="167" fontId="56" fillId="0" borderId="0" xfId="0" applyNumberFormat="1" applyFont="1"/>
    <xf numFmtId="0" fontId="67" fillId="10" borderId="23" xfId="0" applyFont="1" applyFill="1" applyBorder="1" applyAlignment="1">
      <alignment horizontal="center"/>
    </xf>
    <xf numFmtId="0" fontId="56" fillId="10" borderId="23" xfId="0" applyFont="1" applyFill="1" applyBorder="1"/>
    <xf numFmtId="0" fontId="67" fillId="10" borderId="23" xfId="0" applyFont="1" applyFill="1" applyBorder="1"/>
    <xf numFmtId="167" fontId="67" fillId="10" borderId="23" xfId="0" applyNumberFormat="1" applyFont="1" applyFill="1" applyBorder="1"/>
    <xf numFmtId="0" fontId="33" fillId="10" borderId="23" xfId="7" applyFont="1" applyFill="1" applyBorder="1" applyAlignment="1">
      <alignment horizontal="center" wrapText="1"/>
    </xf>
    <xf numFmtId="168" fontId="33" fillId="10" borderId="23" xfId="55" applyNumberFormat="1" applyFont="1" applyFill="1" applyBorder="1" applyAlignment="1">
      <alignment horizontal="center" wrapText="1"/>
    </xf>
    <xf numFmtId="38" fontId="33" fillId="10" borderId="23" xfId="7" applyNumberFormat="1" applyFont="1" applyFill="1" applyBorder="1" applyAlignment="1">
      <alignment horizontal="center" wrapText="1"/>
    </xf>
    <xf numFmtId="37" fontId="33" fillId="10" borderId="23" xfId="7" applyNumberFormat="1" applyFont="1" applyFill="1" applyBorder="1" applyAlignment="1">
      <alignment horizontal="center" wrapText="1"/>
    </xf>
    <xf numFmtId="0" fontId="2" fillId="0" borderId="23" xfId="7" applyFont="1" applyBorder="1"/>
    <xf numFmtId="0" fontId="67" fillId="0" borderId="23" xfId="7" applyFont="1" applyBorder="1"/>
    <xf numFmtId="167" fontId="67" fillId="0" borderId="23" xfId="55" applyNumberFormat="1" applyFont="1" applyBorder="1"/>
    <xf numFmtId="167" fontId="33" fillId="0" borderId="23" xfId="55" applyNumberFormat="1" applyFont="1" applyBorder="1"/>
    <xf numFmtId="49" fontId="33" fillId="10" borderId="23" xfId="3" applyNumberFormat="1" applyFont="1" applyFill="1" applyBorder="1" applyAlignment="1">
      <alignment horizontal="center" wrapText="1"/>
    </xf>
    <xf numFmtId="167" fontId="33" fillId="10" borderId="23" xfId="3" applyNumberFormat="1" applyFont="1" applyFill="1" applyBorder="1" applyAlignment="1">
      <alignment horizontal="center" wrapText="1"/>
    </xf>
    <xf numFmtId="9" fontId="33" fillId="10" borderId="23" xfId="6" applyFont="1" applyFill="1" applyBorder="1" applyAlignment="1">
      <alignment horizontal="center" wrapText="1"/>
    </xf>
    <xf numFmtId="167" fontId="33" fillId="10" borderId="23" xfId="8" applyNumberFormat="1" applyFont="1" applyFill="1" applyBorder="1" applyAlignment="1">
      <alignment horizontal="center" wrapText="1"/>
    </xf>
    <xf numFmtId="3" fontId="25" fillId="0" borderId="23" xfId="3" applyNumberFormat="1" applyBorder="1" applyAlignment="1">
      <alignment horizontal="right"/>
    </xf>
    <xf numFmtId="167" fontId="25" fillId="0" borderId="23" xfId="3" applyNumberFormat="1" applyBorder="1" applyAlignment="1">
      <alignment horizontal="right"/>
    </xf>
    <xf numFmtId="5" fontId="25" fillId="0" borderId="23" xfId="3" applyNumberFormat="1" applyBorder="1" applyAlignment="1">
      <alignment horizontal="right"/>
    </xf>
    <xf numFmtId="10" fontId="25" fillId="0" borderId="23" xfId="3" applyNumberFormat="1" applyBorder="1" applyAlignment="1">
      <alignment horizontal="right"/>
    </xf>
    <xf numFmtId="5" fontId="0" fillId="0" borderId="23" xfId="5" applyNumberFormat="1" applyFont="1" applyFill="1" applyBorder="1"/>
    <xf numFmtId="167" fontId="0" fillId="0" borderId="23" xfId="8" applyNumberFormat="1" applyFont="1" applyFill="1" applyBorder="1"/>
    <xf numFmtId="10" fontId="0" fillId="0" borderId="23" xfId="6" applyNumberFormat="1" applyFont="1" applyFill="1" applyBorder="1"/>
    <xf numFmtId="3" fontId="25" fillId="8" borderId="23" xfId="3" applyNumberFormat="1" applyFill="1" applyBorder="1" applyAlignment="1">
      <alignment horizontal="right"/>
    </xf>
    <xf numFmtId="167" fontId="25" fillId="8" borderId="23" xfId="3" applyNumberFormat="1" applyFill="1" applyBorder="1" applyAlignment="1">
      <alignment horizontal="right"/>
    </xf>
    <xf numFmtId="5" fontId="25" fillId="8" borderId="23" xfId="3" applyNumberFormat="1" applyFill="1" applyBorder="1" applyAlignment="1">
      <alignment horizontal="right"/>
    </xf>
    <xf numFmtId="10" fontId="25" fillId="8" borderId="23" xfId="3" applyNumberFormat="1" applyFill="1" applyBorder="1" applyAlignment="1">
      <alignment horizontal="right"/>
    </xf>
    <xf numFmtId="3" fontId="15" fillId="0" borderId="23" xfId="42" applyNumberFormat="1" applyBorder="1" applyAlignment="1">
      <alignment horizontal="right"/>
    </xf>
    <xf numFmtId="167" fontId="15" fillId="0" borderId="23" xfId="42" applyNumberFormat="1" applyBorder="1" applyAlignment="1">
      <alignment horizontal="right"/>
    </xf>
    <xf numFmtId="5" fontId="15" fillId="0" borderId="23" xfId="42" applyNumberFormat="1" applyBorder="1" applyAlignment="1">
      <alignment horizontal="right"/>
    </xf>
    <xf numFmtId="0" fontId="33" fillId="0" borderId="2" xfId="3" applyFont="1" applyBorder="1"/>
    <xf numFmtId="167" fontId="2" fillId="0" borderId="0" xfId="3" applyNumberFormat="1" applyFont="1"/>
    <xf numFmtId="3" fontId="0" fillId="2" borderId="23" xfId="0" applyNumberFormat="1" applyFill="1" applyBorder="1" applyProtection="1">
      <protection locked="0"/>
    </xf>
    <xf numFmtId="164" fontId="0" fillId="2" borderId="23" xfId="0" applyNumberFormat="1" applyFill="1" applyBorder="1" applyProtection="1">
      <protection locked="0"/>
    </xf>
    <xf numFmtId="164" fontId="0" fillId="2" borderId="23" xfId="0" applyNumberFormat="1" applyFill="1" applyBorder="1"/>
    <xf numFmtId="3" fontId="26" fillId="2" borderId="23" xfId="0" applyNumberFormat="1" applyFont="1" applyFill="1" applyBorder="1" applyProtection="1">
      <protection locked="0"/>
    </xf>
    <xf numFmtId="3" fontId="0" fillId="2" borderId="23" xfId="0" applyNumberFormat="1" applyFill="1" applyBorder="1"/>
    <xf numFmtId="3" fontId="0" fillId="5" borderId="23" xfId="0" applyNumberFormat="1" applyFill="1" applyBorder="1" applyProtection="1">
      <protection locked="0"/>
    </xf>
    <xf numFmtId="1" fontId="0" fillId="2" borderId="23" xfId="0" applyNumberFormat="1" applyFill="1" applyBorder="1"/>
    <xf numFmtId="0" fontId="0" fillId="2" borderId="23" xfId="0" applyFill="1" applyBorder="1" applyProtection="1">
      <protection locked="0"/>
    </xf>
    <xf numFmtId="0" fontId="65" fillId="0" borderId="0" xfId="0" applyFont="1"/>
    <xf numFmtId="164" fontId="0" fillId="3" borderId="23" xfId="0" applyNumberFormat="1" applyFill="1" applyBorder="1"/>
    <xf numFmtId="4" fontId="0" fillId="2" borderId="23" xfId="0" applyNumberFormat="1" applyFill="1" applyBorder="1"/>
    <xf numFmtId="10" fontId="0" fillId="2" borderId="23" xfId="0" applyNumberFormat="1" applyFill="1" applyBorder="1" applyProtection="1">
      <protection locked="0"/>
    </xf>
    <xf numFmtId="10" fontId="0" fillId="2" borderId="23" xfId="1" applyNumberFormat="1" applyFont="1" applyFill="1" applyBorder="1" applyProtection="1"/>
    <xf numFmtId="167" fontId="0" fillId="2" borderId="23" xfId="0" applyNumberFormat="1" applyFill="1" applyBorder="1" applyProtection="1">
      <protection locked="0"/>
    </xf>
    <xf numFmtId="44" fontId="0" fillId="2" borderId="23" xfId="19" applyFont="1" applyFill="1" applyBorder="1" applyProtection="1">
      <protection locked="0"/>
    </xf>
    <xf numFmtId="166" fontId="0" fillId="2" borderId="23" xfId="84" applyNumberFormat="1" applyFont="1" applyFill="1" applyBorder="1"/>
    <xf numFmtId="166" fontId="0" fillId="2" borderId="23" xfId="84" applyNumberFormat="1" applyFont="1" applyFill="1" applyBorder="1" applyProtection="1">
      <protection locked="0"/>
    </xf>
    <xf numFmtId="168" fontId="0" fillId="2" borderId="23" xfId="58" applyNumberFormat="1" applyFont="1" applyFill="1" applyBorder="1" applyProtection="1">
      <protection locked="0"/>
    </xf>
    <xf numFmtId="166" fontId="0" fillId="2" borderId="23" xfId="84" applyNumberFormat="1" applyFont="1" applyFill="1" applyBorder="1" applyProtection="1"/>
    <xf numFmtId="168" fontId="0" fillId="2" borderId="23" xfId="58" applyNumberFormat="1" applyFont="1" applyFill="1" applyBorder="1" applyProtection="1"/>
    <xf numFmtId="3" fontId="26" fillId="2" borderId="23" xfId="2" applyNumberFormat="1" applyFill="1" applyBorder="1" applyProtection="1">
      <protection locked="0"/>
    </xf>
    <xf numFmtId="164" fontId="26" fillId="2" borderId="23" xfId="2" applyNumberFormat="1" applyFill="1" applyBorder="1" applyProtection="1">
      <protection locked="0"/>
    </xf>
    <xf numFmtId="164" fontId="26" fillId="2" borderId="23" xfId="2" applyNumberFormat="1" applyFill="1" applyBorder="1"/>
    <xf numFmtId="3" fontId="26" fillId="2" borderId="23" xfId="2" applyNumberFormat="1" applyFill="1" applyBorder="1"/>
    <xf numFmtId="164" fontId="26" fillId="3" borderId="23" xfId="2" applyNumberFormat="1" applyFill="1" applyBorder="1"/>
    <xf numFmtId="10" fontId="26" fillId="5" borderId="23" xfId="2" applyNumberFormat="1" applyFill="1" applyBorder="1" applyProtection="1">
      <protection locked="0"/>
    </xf>
    <xf numFmtId="164" fontId="26" fillId="5" borderId="23" xfId="2" applyNumberFormat="1" applyFill="1" applyBorder="1" applyProtection="1">
      <protection locked="0"/>
    </xf>
    <xf numFmtId="7" fontId="26" fillId="5" borderId="23" xfId="2" applyNumberFormat="1" applyFill="1" applyBorder="1" applyProtection="1">
      <protection locked="0"/>
    </xf>
    <xf numFmtId="10" fontId="0" fillId="2" borderId="23" xfId="15" applyNumberFormat="1" applyFont="1" applyFill="1" applyBorder="1" applyProtection="1"/>
    <xf numFmtId="168" fontId="0" fillId="2" borderId="23" xfId="58" applyNumberFormat="1" applyFont="1" applyFill="1" applyBorder="1"/>
    <xf numFmtId="168" fontId="0" fillId="0" borderId="23" xfId="58" applyNumberFormat="1" applyFont="1" applyFill="1" applyBorder="1"/>
    <xf numFmtId="168" fontId="0" fillId="3" borderId="19" xfId="58" applyNumberFormat="1" applyFont="1" applyFill="1" applyBorder="1"/>
    <xf numFmtId="3" fontId="26" fillId="5" borderId="23" xfId="0" applyNumberFormat="1" applyFont="1" applyFill="1" applyBorder="1" applyProtection="1">
      <protection locked="0"/>
    </xf>
    <xf numFmtId="168" fontId="0" fillId="3" borderId="23" xfId="58" applyNumberFormat="1" applyFont="1" applyFill="1" applyBorder="1"/>
    <xf numFmtId="44" fontId="0" fillId="2" borderId="23" xfId="19" applyFont="1" applyFill="1" applyBorder="1"/>
    <xf numFmtId="166" fontId="0" fillId="2" borderId="23" xfId="18" applyNumberFormat="1" applyFont="1" applyFill="1" applyBorder="1"/>
    <xf numFmtId="43" fontId="0" fillId="2" borderId="23" xfId="18" applyFont="1" applyFill="1" applyBorder="1" applyProtection="1"/>
    <xf numFmtId="44" fontId="0" fillId="2" borderId="23" xfId="19" applyFont="1" applyFill="1" applyBorder="1" applyProtection="1"/>
    <xf numFmtId="10" fontId="69" fillId="5" borderId="23" xfId="2" applyNumberFormat="1" applyFont="1" applyFill="1" applyBorder="1"/>
    <xf numFmtId="3" fontId="0" fillId="5" borderId="23" xfId="0" applyNumberFormat="1" applyFill="1" applyBorder="1"/>
    <xf numFmtId="168" fontId="0" fillId="5" borderId="23" xfId="58" applyNumberFormat="1" applyFont="1" applyFill="1" applyBorder="1" applyProtection="1">
      <protection locked="0"/>
    </xf>
    <xf numFmtId="37" fontId="0" fillId="2" borderId="23" xfId="84" applyNumberFormat="1" applyFont="1" applyFill="1" applyBorder="1"/>
    <xf numFmtId="167" fontId="0" fillId="5" borderId="23" xfId="0" applyNumberFormat="1" applyFill="1" applyBorder="1" applyProtection="1">
      <protection locked="0"/>
    </xf>
    <xf numFmtId="166" fontId="0" fillId="2" borderId="23" xfId="18" applyNumberFormat="1" applyFont="1" applyFill="1" applyBorder="1" applyProtection="1">
      <protection locked="0"/>
    </xf>
    <xf numFmtId="10" fontId="0" fillId="2" borderId="23" xfId="1" applyNumberFormat="1" applyFont="1" applyFill="1" applyBorder="1" applyProtection="1">
      <protection locked="0"/>
    </xf>
    <xf numFmtId="167" fontId="0" fillId="2" borderId="23" xfId="0" applyNumberFormat="1" applyFill="1" applyBorder="1"/>
    <xf numFmtId="164" fontId="0" fillId="5" borderId="23" xfId="0" applyNumberFormat="1" applyFill="1" applyBorder="1" applyProtection="1">
      <protection locked="0"/>
    </xf>
    <xf numFmtId="164" fontId="0" fillId="5" borderId="23" xfId="0" applyNumberFormat="1" applyFill="1" applyBorder="1"/>
    <xf numFmtId="5" fontId="26" fillId="2" borderId="23" xfId="2" applyNumberFormat="1" applyFill="1" applyBorder="1" applyProtection="1">
      <protection locked="0"/>
    </xf>
    <xf numFmtId="167" fontId="26" fillId="2" borderId="23" xfId="2" applyNumberFormat="1" applyFill="1" applyBorder="1"/>
    <xf numFmtId="166" fontId="26" fillId="2" borderId="23" xfId="18" applyNumberFormat="1" applyFont="1" applyFill="1" applyBorder="1"/>
    <xf numFmtId="37" fontId="26" fillId="2" borderId="23" xfId="2" applyNumberFormat="1" applyFill="1" applyBorder="1" applyProtection="1">
      <protection locked="0"/>
    </xf>
    <xf numFmtId="167" fontId="26" fillId="2" borderId="23" xfId="2" applyNumberFormat="1" applyFill="1" applyBorder="1" applyProtection="1">
      <protection locked="0"/>
    </xf>
    <xf numFmtId="10" fontId="26" fillId="2" borderId="23" xfId="2" applyNumberFormat="1" applyFill="1" applyBorder="1" applyProtection="1">
      <protection locked="0"/>
    </xf>
    <xf numFmtId="7" fontId="26" fillId="2" borderId="23" xfId="2" applyNumberFormat="1" applyFill="1" applyBorder="1"/>
    <xf numFmtId="10" fontId="26" fillId="2" borderId="23" xfId="15" applyNumberFormat="1" applyFont="1" applyFill="1" applyBorder="1" applyProtection="1"/>
    <xf numFmtId="0" fontId="27" fillId="5" borderId="0" xfId="0" applyFont="1" applyFill="1" applyAlignment="1">
      <alignment horizontal="right"/>
    </xf>
    <xf numFmtId="164" fontId="26" fillId="2" borderId="23" xfId="0" applyNumberFormat="1" applyFont="1" applyFill="1" applyBorder="1" applyProtection="1">
      <protection locked="0"/>
    </xf>
    <xf numFmtId="167" fontId="26" fillId="2" borderId="23" xfId="0" applyNumberFormat="1" applyFont="1" applyFill="1" applyBorder="1" applyProtection="1">
      <protection locked="0"/>
    </xf>
    <xf numFmtId="164" fontId="26" fillId="5" borderId="13" xfId="0" applyNumberFormat="1" applyFont="1" applyFill="1" applyBorder="1" applyProtection="1">
      <protection locked="0"/>
    </xf>
    <xf numFmtId="170" fontId="0" fillId="2" borderId="23" xfId="84" applyNumberFormat="1" applyFont="1" applyFill="1" applyBorder="1" applyProtection="1">
      <protection locked="0"/>
    </xf>
    <xf numFmtId="44" fontId="0" fillId="2" borderId="23" xfId="0" applyNumberFormat="1" applyFill="1" applyBorder="1" applyProtection="1">
      <protection locked="0"/>
    </xf>
    <xf numFmtId="37" fontId="0" fillId="2" borderId="23" xfId="0" applyNumberFormat="1" applyFill="1" applyBorder="1" applyProtection="1">
      <protection locked="0"/>
    </xf>
    <xf numFmtId="166" fontId="0" fillId="2" borderId="17" xfId="84" applyNumberFormat="1" applyFont="1" applyFill="1" applyBorder="1"/>
    <xf numFmtId="10" fontId="26" fillId="2" borderId="23" xfId="0" applyNumberFormat="1" applyFont="1" applyFill="1" applyBorder="1" applyProtection="1">
      <protection locked="0"/>
    </xf>
    <xf numFmtId="166" fontId="0" fillId="0" borderId="23" xfId="84" applyNumberFormat="1" applyFont="1" applyFill="1" applyBorder="1"/>
    <xf numFmtId="167" fontId="0" fillId="0" borderId="12" xfId="0" applyNumberFormat="1" applyBorder="1"/>
    <xf numFmtId="167" fontId="0" fillId="3" borderId="23" xfId="0" applyNumberFormat="1" applyFill="1" applyBorder="1"/>
    <xf numFmtId="3" fontId="26" fillId="0" borderId="0" xfId="2" applyNumberFormat="1" applyAlignment="1">
      <alignment horizontal="centerContinuous"/>
    </xf>
    <xf numFmtId="3" fontId="26" fillId="0" borderId="0" xfId="2" applyNumberFormat="1"/>
    <xf numFmtId="3" fontId="27" fillId="0" borderId="0" xfId="2" applyNumberFormat="1" applyFont="1" applyAlignment="1">
      <alignment horizontal="center" wrapText="1"/>
    </xf>
    <xf numFmtId="3" fontId="26" fillId="0" borderId="12" xfId="2" applyNumberFormat="1" applyBorder="1"/>
    <xf numFmtId="3" fontId="26" fillId="0" borderId="20" xfId="2" applyNumberFormat="1" applyBorder="1"/>
    <xf numFmtId="3" fontId="27" fillId="0" borderId="0" xfId="2" applyNumberFormat="1" applyFont="1"/>
    <xf numFmtId="6" fontId="25" fillId="0" borderId="0" xfId="3" applyNumberFormat="1" applyAlignment="1">
      <alignment horizontal="right"/>
    </xf>
    <xf numFmtId="0" fontId="75" fillId="0" borderId="23" xfId="3" applyFont="1" applyBorder="1"/>
    <xf numFmtId="0" fontId="35" fillId="0" borderId="23" xfId="42" applyFont="1" applyBorder="1"/>
    <xf numFmtId="167" fontId="56" fillId="0" borderId="18" xfId="55" applyNumberFormat="1" applyFont="1" applyBorder="1"/>
    <xf numFmtId="167" fontId="56" fillId="0" borderId="18" xfId="55" applyNumberFormat="1" applyFont="1" applyBorder="1" applyAlignment="1">
      <alignment horizontal="right"/>
    </xf>
    <xf numFmtId="167" fontId="56" fillId="0" borderId="23" xfId="55" applyNumberFormat="1" applyFont="1" applyBorder="1" applyAlignment="1">
      <alignment horizontal="right"/>
    </xf>
    <xf numFmtId="167" fontId="56" fillId="0" borderId="23" xfId="5" applyNumberFormat="1" applyFont="1" applyBorder="1" applyAlignment="1">
      <alignment horizontal="right"/>
    </xf>
    <xf numFmtId="167" fontId="67" fillId="10" borderId="23" xfId="55" applyNumberFormat="1" applyFont="1" applyFill="1" applyBorder="1" applyAlignment="1">
      <alignment horizontal="right"/>
    </xf>
    <xf numFmtId="167" fontId="67" fillId="10" borderId="23" xfId="5" applyNumberFormat="1" applyFont="1" applyFill="1" applyBorder="1" applyAlignment="1">
      <alignment horizontal="right"/>
    </xf>
    <xf numFmtId="166" fontId="0" fillId="2" borderId="23" xfId="18" applyNumberFormat="1" applyFont="1" applyFill="1" applyBorder="1" applyProtection="1"/>
    <xf numFmtId="0" fontId="30" fillId="0" borderId="0" xfId="2" applyFont="1" applyAlignment="1">
      <alignment horizontal="center"/>
    </xf>
    <xf numFmtId="0" fontId="27" fillId="0" borderId="0" xfId="2" applyFont="1" applyAlignment="1">
      <alignment horizontal="center"/>
    </xf>
    <xf numFmtId="0" fontId="0" fillId="0" borderId="0" xfId="0" applyAlignment="1">
      <alignment horizontal="center" vertical="center"/>
    </xf>
    <xf numFmtId="0" fontId="28" fillId="0" borderId="0" xfId="0" applyFont="1" applyAlignment="1">
      <alignment horizontal="left"/>
    </xf>
    <xf numFmtId="49" fontId="29" fillId="2" borderId="13" xfId="0" applyNumberFormat="1" applyFont="1" applyFill="1" applyBorder="1" applyProtection="1">
      <protection locked="0"/>
    </xf>
    <xf numFmtId="49" fontId="29" fillId="2" borderId="14" xfId="0" applyNumberFormat="1" applyFont="1" applyFill="1" applyBorder="1" applyProtection="1">
      <protection locked="0"/>
    </xf>
    <xf numFmtId="49" fontId="29" fillId="2" borderId="15" xfId="0" applyNumberFormat="1" applyFont="1" applyFill="1" applyBorder="1" applyProtection="1">
      <protection locked="0"/>
    </xf>
    <xf numFmtId="164" fontId="0" fillId="0" borderId="23" xfId="0" applyNumberFormat="1" applyBorder="1"/>
    <xf numFmtId="3" fontId="0" fillId="0" borderId="12" xfId="0" applyNumberFormat="1" applyBorder="1"/>
    <xf numFmtId="164" fontId="0" fillId="0" borderId="12" xfId="0" applyNumberFormat="1" applyBorder="1"/>
    <xf numFmtId="49" fontId="0" fillId="2" borderId="13" xfId="0" applyNumberFormat="1" applyFill="1" applyBorder="1" applyProtection="1">
      <protection locked="0"/>
    </xf>
    <xf numFmtId="49" fontId="0" fillId="2" borderId="14" xfId="0" applyNumberFormat="1" applyFill="1" applyBorder="1" applyProtection="1">
      <protection locked="0"/>
    </xf>
    <xf numFmtId="49" fontId="0" fillId="2" borderId="15" xfId="0" applyNumberFormat="1" applyFill="1" applyBorder="1" applyProtection="1">
      <protection locked="0"/>
    </xf>
    <xf numFmtId="164" fontId="0" fillId="3" borderId="13" xfId="0" applyNumberFormat="1" applyFill="1" applyBorder="1"/>
    <xf numFmtId="0" fontId="0" fillId="3" borderId="0" xfId="0" applyFill="1"/>
    <xf numFmtId="164" fontId="0" fillId="3" borderId="0" xfId="0" applyNumberFormat="1" applyFill="1"/>
    <xf numFmtId="49" fontId="0" fillId="2" borderId="22" xfId="0" applyNumberFormat="1" applyFill="1" applyBorder="1" applyProtection="1">
      <protection locked="0"/>
    </xf>
    <xf numFmtId="49" fontId="0" fillId="2" borderId="10" xfId="0" applyNumberFormat="1" applyFill="1" applyBorder="1" applyProtection="1">
      <protection locked="0"/>
    </xf>
    <xf numFmtId="49" fontId="0" fillId="2" borderId="16" xfId="0" applyNumberFormat="1" applyFill="1" applyBorder="1" applyProtection="1">
      <protection locked="0"/>
    </xf>
    <xf numFmtId="3" fontId="0" fillId="3" borderId="0" xfId="0" applyNumberFormat="1" applyFill="1" applyProtection="1">
      <protection locked="0"/>
    </xf>
    <xf numFmtId="164" fontId="0" fillId="3" borderId="0" xfId="0" applyNumberFormat="1" applyFill="1" applyProtection="1">
      <protection locked="0"/>
    </xf>
    <xf numFmtId="0" fontId="0" fillId="2" borderId="23" xfId="0" applyFill="1" applyBorder="1"/>
    <xf numFmtId="164" fontId="0" fillId="2" borderId="13" xfId="0" applyNumberFormat="1" applyFill="1" applyBorder="1"/>
    <xf numFmtId="49" fontId="34" fillId="2" borderId="13" xfId="4" applyNumberFormat="1" applyFill="1" applyBorder="1" applyProtection="1">
      <protection locked="0"/>
    </xf>
    <xf numFmtId="49" fontId="34" fillId="2" borderId="14" xfId="4" applyNumberFormat="1" applyFill="1" applyBorder="1" applyProtection="1">
      <protection locked="0"/>
    </xf>
    <xf numFmtId="49" fontId="34" fillId="2" borderId="15" xfId="4" applyNumberFormat="1" applyFill="1" applyBorder="1" applyProtection="1">
      <protection locked="0"/>
    </xf>
    <xf numFmtId="0" fontId="0" fillId="5" borderId="0" xfId="0" applyFill="1"/>
    <xf numFmtId="167" fontId="0" fillId="2" borderId="21" xfId="0" applyNumberFormat="1" applyFill="1" applyBorder="1"/>
    <xf numFmtId="3" fontId="26" fillId="2" borderId="23" xfId="0" applyNumberFormat="1" applyFont="1" applyFill="1" applyBorder="1" applyAlignment="1" applyProtection="1">
      <alignment horizontal="right"/>
      <protection locked="0"/>
    </xf>
    <xf numFmtId="49" fontId="70" fillId="2" borderId="13" xfId="0" applyNumberFormat="1" applyFont="1" applyFill="1" applyBorder="1" applyProtection="1">
      <protection locked="0"/>
    </xf>
    <xf numFmtId="49" fontId="70" fillId="2" borderId="14" xfId="0" applyNumberFormat="1" applyFont="1" applyFill="1" applyBorder="1" applyProtection="1">
      <protection locked="0"/>
    </xf>
    <xf numFmtId="49" fontId="70" fillId="2" borderId="15" xfId="0" applyNumberFormat="1" applyFont="1" applyFill="1" applyBorder="1" applyProtection="1">
      <protection locked="0"/>
    </xf>
    <xf numFmtId="167" fontId="0" fillId="2" borderId="23" xfId="19" applyNumberFormat="1" applyFont="1" applyFill="1" applyBorder="1" applyProtection="1">
      <protection locked="0"/>
    </xf>
    <xf numFmtId="171" fontId="0" fillId="0" borderId="0" xfId="0" applyNumberFormat="1"/>
    <xf numFmtId="164" fontId="0" fillId="2" borderId="0" xfId="0" applyNumberFormat="1" applyFill="1"/>
    <xf numFmtId="10" fontId="0" fillId="5" borderId="23" xfId="0" applyNumberFormat="1" applyFill="1" applyBorder="1" applyProtection="1">
      <protection locked="0"/>
    </xf>
    <xf numFmtId="164" fontId="0" fillId="2" borderId="24" xfId="0" applyNumberFormat="1" applyFill="1" applyBorder="1" applyProtection="1">
      <protection locked="0"/>
    </xf>
    <xf numFmtId="164" fontId="0" fillId="2" borderId="21" xfId="0" applyNumberFormat="1" applyFill="1" applyBorder="1"/>
    <xf numFmtId="164" fontId="0" fillId="2" borderId="23" xfId="58" applyNumberFormat="1" applyFont="1" applyFill="1" applyBorder="1" applyProtection="1">
      <protection locked="0"/>
    </xf>
    <xf numFmtId="164" fontId="0" fillId="2" borderId="13" xfId="58" applyNumberFormat="1" applyFont="1" applyFill="1" applyBorder="1" applyProtection="1">
      <protection locked="0"/>
    </xf>
    <xf numFmtId="164" fontId="0" fillId="2" borderId="23" xfId="58" applyNumberFormat="1" applyFont="1" applyFill="1" applyBorder="1"/>
    <xf numFmtId="164" fontId="0" fillId="0" borderId="0" xfId="58" applyNumberFormat="1" applyFont="1"/>
    <xf numFmtId="164" fontId="0" fillId="0" borderId="23" xfId="58" applyNumberFormat="1" applyFont="1" applyFill="1" applyBorder="1"/>
    <xf numFmtId="1" fontId="0" fillId="2" borderId="23" xfId="84" applyNumberFormat="1" applyFont="1" applyFill="1" applyBorder="1" applyProtection="1">
      <protection locked="0"/>
    </xf>
    <xf numFmtId="166" fontId="0" fillId="0" borderId="12" xfId="84" applyNumberFormat="1" applyFont="1" applyBorder="1"/>
    <xf numFmtId="164" fontId="0" fillId="3" borderId="13" xfId="58" applyNumberFormat="1" applyFont="1" applyFill="1" applyBorder="1" applyProtection="1"/>
    <xf numFmtId="166" fontId="0" fillId="0" borderId="20" xfId="84" applyNumberFormat="1" applyFont="1" applyBorder="1"/>
    <xf numFmtId="166" fontId="27" fillId="0" borderId="0" xfId="84" applyNumberFormat="1" applyFont="1" applyBorder="1" applyAlignment="1">
      <alignment horizontal="center" wrapText="1"/>
    </xf>
    <xf numFmtId="166" fontId="0" fillId="3" borderId="0" xfId="84" applyNumberFormat="1" applyFont="1" applyFill="1" applyBorder="1"/>
    <xf numFmtId="164" fontId="26" fillId="2" borderId="23" xfId="58" applyNumberFormat="1" applyFont="1" applyFill="1" applyBorder="1" applyProtection="1">
      <protection locked="0"/>
    </xf>
    <xf numFmtId="166" fontId="0" fillId="2" borderId="17" xfId="84" applyNumberFormat="1" applyFont="1" applyFill="1" applyBorder="1" applyProtection="1">
      <protection locked="0"/>
    </xf>
    <xf numFmtId="164" fontId="0" fillId="2" borderId="17" xfId="58" applyNumberFormat="1" applyFont="1" applyFill="1" applyBorder="1" applyProtection="1">
      <protection locked="0"/>
    </xf>
    <xf numFmtId="166" fontId="0" fillId="3" borderId="0" xfId="84" applyNumberFormat="1" applyFont="1" applyFill="1" applyBorder="1" applyProtection="1">
      <protection locked="0"/>
    </xf>
    <xf numFmtId="164" fontId="0" fillId="3" borderId="0" xfId="58" applyNumberFormat="1" applyFont="1" applyFill="1" applyBorder="1" applyProtection="1">
      <protection locked="0"/>
    </xf>
    <xf numFmtId="164" fontId="0" fillId="3" borderId="0" xfId="58" applyNumberFormat="1" applyFont="1" applyFill="1" applyBorder="1" applyProtection="1"/>
    <xf numFmtId="164" fontId="0" fillId="3" borderId="0" xfId="58" applyNumberFormat="1" applyFont="1" applyFill="1" applyBorder="1"/>
    <xf numFmtId="164" fontId="0" fillId="2" borderId="23" xfId="58" applyNumberFormat="1" applyFont="1" applyFill="1" applyBorder="1" applyProtection="1"/>
    <xf numFmtId="164" fontId="0" fillId="2" borderId="13" xfId="58" applyNumberFormat="1" applyFont="1" applyFill="1" applyBorder="1" applyProtection="1"/>
    <xf numFmtId="164" fontId="0" fillId="3" borderId="23" xfId="58" applyNumberFormat="1" applyFont="1" applyFill="1" applyBorder="1"/>
    <xf numFmtId="1" fontId="26" fillId="2" borderId="23" xfId="84" applyNumberFormat="1" applyFont="1" applyFill="1" applyBorder="1" applyProtection="1">
      <protection locked="0"/>
    </xf>
    <xf numFmtId="166" fontId="26" fillId="2" borderId="23" xfId="84" applyNumberFormat="1" applyFont="1" applyFill="1" applyBorder="1" applyProtection="1">
      <protection locked="0"/>
    </xf>
    <xf numFmtId="1" fontId="0" fillId="2" borderId="23" xfId="84" applyNumberFormat="1" applyFont="1" applyFill="1" applyBorder="1"/>
    <xf numFmtId="166" fontId="0" fillId="0" borderId="0" xfId="84" applyNumberFormat="1" applyFont="1" applyFill="1" applyBorder="1"/>
    <xf numFmtId="168" fontId="26" fillId="0" borderId="0" xfId="58" applyNumberFormat="1" applyFont="1"/>
    <xf numFmtId="164" fontId="0" fillId="5" borderId="23" xfId="58" applyNumberFormat="1" applyFont="1" applyFill="1" applyBorder="1" applyProtection="1">
      <protection locked="0"/>
    </xf>
    <xf numFmtId="168" fontId="65" fillId="0" borderId="0" xfId="58" applyNumberFormat="1" applyFont="1"/>
    <xf numFmtId="164" fontId="0" fillId="2" borderId="17" xfId="58" applyNumberFormat="1" applyFont="1" applyFill="1" applyBorder="1"/>
    <xf numFmtId="166" fontId="0" fillId="3" borderId="17" xfId="84" applyNumberFormat="1" applyFont="1" applyFill="1" applyBorder="1"/>
    <xf numFmtId="164" fontId="0" fillId="3" borderId="17" xfId="58" applyNumberFormat="1" applyFont="1" applyFill="1" applyBorder="1"/>
    <xf numFmtId="164" fontId="0" fillId="0" borderId="20" xfId="58" applyNumberFormat="1" applyFont="1" applyBorder="1"/>
    <xf numFmtId="166" fontId="0" fillId="2" borderId="21" xfId="84" applyNumberFormat="1" applyFont="1" applyFill="1" applyBorder="1"/>
    <xf numFmtId="164" fontId="0" fillId="2" borderId="21" xfId="58" applyNumberFormat="1" applyFont="1" applyFill="1" applyBorder="1"/>
    <xf numFmtId="169" fontId="0" fillId="2" borderId="23" xfId="1" applyNumberFormat="1" applyFont="1" applyFill="1" applyBorder="1" applyProtection="1"/>
    <xf numFmtId="166" fontId="27" fillId="0" borderId="0" xfId="84" applyNumberFormat="1" applyFont="1"/>
    <xf numFmtId="0" fontId="28" fillId="0" borderId="0" xfId="2" applyFont="1" applyAlignment="1">
      <alignment horizontal="left"/>
    </xf>
    <xf numFmtId="49" fontId="29" fillId="2" borderId="13" xfId="2" applyNumberFormat="1" applyFont="1" applyFill="1" applyBorder="1" applyProtection="1">
      <protection locked="0"/>
    </xf>
    <xf numFmtId="49" fontId="29" fillId="2" borderId="14" xfId="2" applyNumberFormat="1" applyFont="1" applyFill="1" applyBorder="1" applyProtection="1">
      <protection locked="0"/>
    </xf>
    <xf numFmtId="49" fontId="29" fillId="2" borderId="15" xfId="2" applyNumberFormat="1" applyFont="1" applyFill="1" applyBorder="1" applyProtection="1">
      <protection locked="0"/>
    </xf>
    <xf numFmtId="164" fontId="26" fillId="0" borderId="23" xfId="2" applyNumberFormat="1" applyBorder="1"/>
    <xf numFmtId="164" fontId="26" fillId="0" borderId="12" xfId="2" applyNumberFormat="1" applyBorder="1"/>
    <xf numFmtId="164" fontId="26" fillId="3" borderId="13" xfId="2" applyNumberFormat="1" applyFill="1" applyBorder="1"/>
    <xf numFmtId="0" fontId="26" fillId="3" borderId="0" xfId="2" applyFill="1"/>
    <xf numFmtId="164" fontId="26" fillId="3" borderId="0" xfId="2" applyNumberFormat="1" applyFill="1"/>
    <xf numFmtId="49" fontId="26" fillId="2" borderId="13" xfId="2" applyNumberFormat="1" applyFill="1" applyBorder="1" applyProtection="1">
      <protection locked="0"/>
    </xf>
    <xf numFmtId="49" fontId="26" fillId="2" borderId="14" xfId="2" applyNumberFormat="1" applyFill="1" applyBorder="1" applyProtection="1">
      <protection locked="0"/>
    </xf>
    <xf numFmtId="49" fontId="26" fillId="2" borderId="15" xfId="2" applyNumberFormat="1" applyFill="1" applyBorder="1" applyProtection="1">
      <protection locked="0"/>
    </xf>
    <xf numFmtId="49" fontId="26" fillId="2" borderId="22" xfId="2" applyNumberFormat="1" applyFill="1" applyBorder="1" applyProtection="1">
      <protection locked="0"/>
    </xf>
    <xf numFmtId="49" fontId="26" fillId="2" borderId="10" xfId="2" applyNumberFormat="1" applyFill="1" applyBorder="1" applyProtection="1">
      <protection locked="0"/>
    </xf>
    <xf numFmtId="49" fontId="26" fillId="2" borderId="16" xfId="2" applyNumberFormat="1" applyFill="1" applyBorder="1" applyProtection="1">
      <protection locked="0"/>
    </xf>
    <xf numFmtId="3" fontId="26" fillId="3" borderId="0" xfId="2" applyNumberFormat="1" applyFill="1" applyProtection="1">
      <protection locked="0"/>
    </xf>
    <xf numFmtId="164" fontId="26" fillId="3" borderId="0" xfId="2" applyNumberFormat="1" applyFill="1" applyProtection="1">
      <protection locked="0"/>
    </xf>
    <xf numFmtId="0" fontId="26" fillId="2" borderId="23" xfId="2" applyFill="1" applyBorder="1"/>
    <xf numFmtId="164" fontId="26" fillId="2" borderId="13" xfId="2" applyNumberFormat="1" applyFill="1" applyBorder="1"/>
    <xf numFmtId="49" fontId="26" fillId="2" borderId="13" xfId="0" applyNumberFormat="1" applyFont="1" applyFill="1" applyBorder="1" applyProtection="1">
      <protection locked="0"/>
    </xf>
    <xf numFmtId="43" fontId="0" fillId="2" borderId="23" xfId="18" applyFont="1" applyFill="1" applyBorder="1"/>
    <xf numFmtId="43" fontId="0" fillId="2" borderId="23" xfId="18" applyFont="1" applyFill="1" applyBorder="1" applyProtection="1">
      <protection locked="0"/>
    </xf>
    <xf numFmtId="43" fontId="0" fillId="2" borderId="17" xfId="18" applyFont="1" applyFill="1" applyBorder="1" applyProtection="1">
      <protection locked="0"/>
    </xf>
    <xf numFmtId="167" fontId="0" fillId="0" borderId="23" xfId="0" applyNumberFormat="1" applyBorder="1"/>
    <xf numFmtId="167" fontId="0" fillId="5" borderId="13" xfId="0" applyNumberFormat="1" applyFill="1" applyBorder="1" applyProtection="1">
      <protection locked="0"/>
    </xf>
    <xf numFmtId="167" fontId="0" fillId="5" borderId="23" xfId="0" applyNumberFormat="1" applyFill="1" applyBorder="1"/>
    <xf numFmtId="167" fontId="0" fillId="3" borderId="13" xfId="0" applyNumberFormat="1" applyFill="1" applyBorder="1"/>
    <xf numFmtId="167" fontId="0" fillId="2" borderId="18" xfId="0" applyNumberFormat="1" applyFill="1" applyBorder="1" applyProtection="1">
      <protection locked="0"/>
    </xf>
    <xf numFmtId="3" fontId="0" fillId="0" borderId="17" xfId="0" applyNumberFormat="1" applyBorder="1"/>
    <xf numFmtId="164" fontId="0" fillId="0" borderId="17" xfId="0" applyNumberFormat="1" applyBorder="1"/>
    <xf numFmtId="166" fontId="27" fillId="0" borderId="0" xfId="84" applyNumberFormat="1" applyFont="1" applyAlignment="1">
      <alignment horizontal="right"/>
    </xf>
    <xf numFmtId="166" fontId="0" fillId="2" borderId="23" xfId="84" applyNumberFormat="1" applyFont="1" applyFill="1" applyBorder="1" applyAlignment="1" applyProtection="1">
      <alignment horizontal="right"/>
      <protection locked="0"/>
    </xf>
    <xf numFmtId="3" fontId="0" fillId="2" borderId="23" xfId="0" applyNumberFormat="1" applyFill="1" applyBorder="1" applyAlignment="1" applyProtection="1">
      <alignment horizontal="right"/>
      <protection locked="0"/>
    </xf>
    <xf numFmtId="166" fontId="0" fillId="0" borderId="12" xfId="84" applyNumberFormat="1" applyFont="1" applyFill="1" applyBorder="1"/>
    <xf numFmtId="166" fontId="0" fillId="5" borderId="23" xfId="84" applyNumberFormat="1" applyFont="1" applyFill="1" applyBorder="1" applyProtection="1">
      <protection locked="0"/>
    </xf>
    <xf numFmtId="168" fontId="0" fillId="5" borderId="13" xfId="58" applyNumberFormat="1" applyFont="1" applyFill="1" applyBorder="1" applyAlignment="1" applyProtection="1">
      <alignment horizontal="left"/>
      <protection locked="0"/>
    </xf>
    <xf numFmtId="168" fontId="0" fillId="5" borderId="23" xfId="58" applyNumberFormat="1" applyFont="1" applyFill="1" applyBorder="1" applyAlignment="1" applyProtection="1">
      <alignment horizontal="left"/>
      <protection locked="0"/>
    </xf>
    <xf numFmtId="168" fontId="0" fillId="3" borderId="22" xfId="58" applyNumberFormat="1" applyFont="1" applyFill="1" applyBorder="1" applyProtection="1"/>
    <xf numFmtId="49" fontId="0" fillId="8" borderId="0" xfId="0" applyNumberFormat="1" applyFill="1" applyProtection="1">
      <protection locked="0"/>
    </xf>
    <xf numFmtId="49" fontId="0" fillId="2" borderId="23" xfId="0" applyNumberFormat="1" applyFill="1" applyBorder="1" applyProtection="1">
      <protection locked="0"/>
    </xf>
    <xf numFmtId="166" fontId="0" fillId="2" borderId="18" xfId="84" applyNumberFormat="1" applyFont="1" applyFill="1" applyBorder="1" applyProtection="1">
      <protection locked="0"/>
    </xf>
    <xf numFmtId="168" fontId="0" fillId="2" borderId="18" xfId="58" applyNumberFormat="1" applyFont="1" applyFill="1" applyBorder="1" applyProtection="1">
      <protection locked="0"/>
    </xf>
    <xf numFmtId="166" fontId="0" fillId="3" borderId="17" xfId="84" applyNumberFormat="1" applyFont="1" applyFill="1" applyBorder="1" applyAlignment="1">
      <alignment horizontal="right"/>
    </xf>
    <xf numFmtId="3" fontId="0" fillId="3" borderId="17" xfId="0" applyNumberFormat="1" applyFill="1" applyBorder="1" applyAlignment="1">
      <alignment horizontal="right"/>
    </xf>
    <xf numFmtId="168" fontId="0" fillId="3" borderId="17" xfId="58" applyNumberFormat="1" applyFont="1" applyFill="1" applyBorder="1" applyAlignment="1">
      <alignment horizontal="right"/>
    </xf>
    <xf numFmtId="9" fontId="0" fillId="2" borderId="23" xfId="1" applyFont="1" applyFill="1" applyBorder="1" applyProtection="1"/>
    <xf numFmtId="0" fontId="61" fillId="0" borderId="0" xfId="0" applyFont="1" applyAlignment="1">
      <alignment horizontal="center" wrapText="1"/>
    </xf>
    <xf numFmtId="0" fontId="62" fillId="0" borderId="0" xfId="0" applyFont="1" applyAlignment="1">
      <alignment horizontal="left" vertical="justify" wrapText="1"/>
    </xf>
    <xf numFmtId="42" fontId="0" fillId="0" borderId="0" xfId="0" applyNumberFormat="1" applyAlignment="1">
      <alignment wrapText="1"/>
    </xf>
    <xf numFmtId="0" fontId="0" fillId="0" borderId="0" xfId="0" applyAlignment="1">
      <alignment horizontal="left" wrapText="1"/>
    </xf>
    <xf numFmtId="44" fontId="0" fillId="5" borderId="23" xfId="19" applyFont="1" applyFill="1" applyBorder="1" applyProtection="1">
      <protection locked="0"/>
    </xf>
    <xf numFmtId="49" fontId="0" fillId="0" borderId="22" xfId="0" applyNumberFormat="1" applyBorder="1" applyProtection="1">
      <protection locked="0"/>
    </xf>
    <xf numFmtId="49" fontId="0" fillId="0" borderId="10" xfId="0" applyNumberFormat="1" applyBorder="1" applyProtection="1">
      <protection locked="0"/>
    </xf>
    <xf numFmtId="49" fontId="0" fillId="0" borderId="15" xfId="0" applyNumberFormat="1" applyBorder="1" applyProtection="1">
      <protection locked="0"/>
    </xf>
    <xf numFmtId="0" fontId="26" fillId="0" borderId="13" xfId="0" applyFont="1" applyBorder="1"/>
    <xf numFmtId="164" fontId="0" fillId="5" borderId="23" xfId="19" applyNumberFormat="1" applyFont="1" applyFill="1" applyBorder="1"/>
    <xf numFmtId="49" fontId="0" fillId="0" borderId="13" xfId="0" applyNumberFormat="1" applyBorder="1" applyProtection="1">
      <protection locked="0"/>
    </xf>
    <xf numFmtId="49" fontId="0" fillId="0" borderId="14" xfId="0" applyNumberFormat="1" applyBorder="1" applyProtection="1">
      <protection locked="0"/>
    </xf>
    <xf numFmtId="49" fontId="26" fillId="0" borderId="13" xfId="0" applyNumberFormat="1" applyFont="1" applyBorder="1" applyProtection="1">
      <protection locked="0"/>
    </xf>
    <xf numFmtId="164" fontId="0" fillId="0" borderId="23" xfId="0" applyNumberFormat="1" applyBorder="1" applyProtection="1">
      <protection locked="0"/>
    </xf>
    <xf numFmtId="10" fontId="0" fillId="0" borderId="23" xfId="0" applyNumberFormat="1" applyBorder="1" applyProtection="1">
      <protection locked="0"/>
    </xf>
    <xf numFmtId="0" fontId="26" fillId="5" borderId="23" xfId="2" applyFill="1" applyBorder="1"/>
    <xf numFmtId="164" fontId="26" fillId="3" borderId="22" xfId="2" applyNumberFormat="1" applyFill="1" applyBorder="1"/>
    <xf numFmtId="167" fontId="26" fillId="2" borderId="13" xfId="2" applyNumberFormat="1" applyFill="1" applyBorder="1"/>
    <xf numFmtId="0" fontId="26" fillId="5" borderId="0" xfId="0" applyFont="1" applyFill="1"/>
    <xf numFmtId="0" fontId="65" fillId="5" borderId="0" xfId="0" applyFont="1" applyFill="1"/>
    <xf numFmtId="0" fontId="26" fillId="6" borderId="22" xfId="0" applyFont="1" applyFill="1" applyBorder="1"/>
    <xf numFmtId="0" fontId="26" fillId="6" borderId="10" xfId="0" applyFont="1" applyFill="1" applyBorder="1"/>
    <xf numFmtId="0" fontId="26" fillId="6" borderId="16" xfId="0" applyFont="1" applyFill="1" applyBorder="1"/>
    <xf numFmtId="166" fontId="0" fillId="2" borderId="13" xfId="84" applyNumberFormat="1" applyFont="1" applyFill="1" applyBorder="1" applyProtection="1">
      <protection locked="0"/>
    </xf>
    <xf numFmtId="166" fontId="0" fillId="5" borderId="13" xfId="84" applyNumberFormat="1" applyFont="1" applyFill="1" applyBorder="1" applyProtection="1">
      <protection locked="0"/>
    </xf>
    <xf numFmtId="166" fontId="0" fillId="5" borderId="23" xfId="84" applyNumberFormat="1" applyFont="1" applyFill="1" applyBorder="1" applyProtection="1"/>
    <xf numFmtId="166" fontId="0" fillId="3" borderId="13" xfId="84" applyNumberFormat="1" applyFont="1" applyFill="1" applyBorder="1" applyProtection="1"/>
    <xf numFmtId="166" fontId="0" fillId="3" borderId="23" xfId="84" applyNumberFormat="1" applyFont="1" applyFill="1" applyBorder="1"/>
    <xf numFmtId="172" fontId="0" fillId="2" borderId="23" xfId="84" applyNumberFormat="1" applyFont="1" applyFill="1" applyBorder="1" applyProtection="1">
      <protection locked="0"/>
    </xf>
    <xf numFmtId="172" fontId="0" fillId="2" borderId="18" xfId="84" applyNumberFormat="1" applyFont="1" applyFill="1" applyBorder="1" applyProtection="1">
      <protection locked="0"/>
    </xf>
    <xf numFmtId="172" fontId="0" fillId="0" borderId="0" xfId="84" applyNumberFormat="1" applyFont="1"/>
    <xf numFmtId="172" fontId="0" fillId="2" borderId="23" xfId="84" applyNumberFormat="1" applyFont="1" applyFill="1" applyBorder="1"/>
    <xf numFmtId="4" fontId="0" fillId="2" borderId="17" xfId="0" applyNumberFormat="1" applyFill="1" applyBorder="1"/>
    <xf numFmtId="4" fontId="0" fillId="0" borderId="20" xfId="0" applyNumberFormat="1" applyBorder="1"/>
    <xf numFmtId="49" fontId="29" fillId="5" borderId="13" xfId="0" applyNumberFormat="1" applyFont="1" applyFill="1" applyBorder="1" applyProtection="1">
      <protection locked="0"/>
    </xf>
    <xf numFmtId="164" fontId="0" fillId="0" borderId="0" xfId="0" applyNumberFormat="1" applyProtection="1">
      <protection locked="0"/>
    </xf>
    <xf numFmtId="0" fontId="28" fillId="0" borderId="0" xfId="0" applyFont="1"/>
    <xf numFmtId="8" fontId="0" fillId="2" borderId="23" xfId="0" applyNumberFormat="1" applyFill="1" applyBorder="1" applyProtection="1">
      <protection locked="0"/>
    </xf>
    <xf numFmtId="49" fontId="26" fillId="5" borderId="13" xfId="0" applyNumberFormat="1" applyFont="1" applyFill="1" applyBorder="1" applyProtection="1">
      <protection locked="0"/>
    </xf>
    <xf numFmtId="49" fontId="26" fillId="5" borderId="14" xfId="0" applyNumberFormat="1" applyFont="1" applyFill="1" applyBorder="1" applyProtection="1">
      <protection locked="0"/>
    </xf>
    <xf numFmtId="49" fontId="26" fillId="5" borderId="15" xfId="0" applyNumberFormat="1" applyFont="1" applyFill="1" applyBorder="1" applyProtection="1">
      <protection locked="0"/>
    </xf>
    <xf numFmtId="49" fontId="26" fillId="2" borderId="14" xfId="0" applyNumberFormat="1" applyFont="1" applyFill="1" applyBorder="1" applyProtection="1">
      <protection locked="0"/>
    </xf>
    <xf numFmtId="49" fontId="26" fillId="2" borderId="15" xfId="0" applyNumberFormat="1" applyFont="1" applyFill="1" applyBorder="1" applyProtection="1">
      <protection locked="0"/>
    </xf>
    <xf numFmtId="166" fontId="0" fillId="2" borderId="23" xfId="0" applyNumberFormat="1" applyFill="1" applyBorder="1" applyProtection="1">
      <protection locked="0"/>
    </xf>
    <xf numFmtId="7" fontId="0" fillId="2" borderId="23" xfId="0" applyNumberFormat="1" applyFill="1" applyBorder="1"/>
    <xf numFmtId="49" fontId="32" fillId="2" borderId="13" xfId="0" applyNumberFormat="1" applyFont="1" applyFill="1" applyBorder="1" applyProtection="1">
      <protection locked="0"/>
    </xf>
    <xf numFmtId="49" fontId="32" fillId="2" borderId="14" xfId="0" applyNumberFormat="1" applyFont="1" applyFill="1" applyBorder="1" applyProtection="1">
      <protection locked="0"/>
    </xf>
    <xf numFmtId="49" fontId="32" fillId="2" borderId="15" xfId="0" applyNumberFormat="1" applyFont="1" applyFill="1" applyBorder="1" applyProtection="1">
      <protection locked="0"/>
    </xf>
    <xf numFmtId="44" fontId="0" fillId="2" borderId="23" xfId="58" applyFont="1" applyFill="1" applyBorder="1" applyProtection="1"/>
    <xf numFmtId="44" fontId="0" fillId="2" borderId="23" xfId="58" applyFont="1" applyFill="1" applyBorder="1"/>
    <xf numFmtId="167" fontId="0" fillId="0" borderId="0" xfId="0" applyNumberFormat="1" applyAlignment="1">
      <alignment horizontal="centerContinuous"/>
    </xf>
    <xf numFmtId="3" fontId="69" fillId="2" borderId="23" xfId="0" applyNumberFormat="1" applyFont="1" applyFill="1" applyBorder="1" applyProtection="1">
      <protection locked="0"/>
    </xf>
    <xf numFmtId="167" fontId="69" fillId="2" borderId="23" xfId="0" applyNumberFormat="1" applyFont="1" applyFill="1" applyBorder="1" applyProtection="1">
      <protection locked="0"/>
    </xf>
    <xf numFmtId="49" fontId="0" fillId="5" borderId="14" xfId="0" applyNumberFormat="1" applyFill="1" applyBorder="1" applyProtection="1">
      <protection locked="0"/>
    </xf>
    <xf numFmtId="49" fontId="0" fillId="5" borderId="15" xfId="0" applyNumberFormat="1" applyFill="1" applyBorder="1" applyProtection="1">
      <protection locked="0"/>
    </xf>
    <xf numFmtId="167" fontId="0" fillId="3" borderId="0" xfId="0" applyNumberFormat="1" applyFill="1"/>
    <xf numFmtId="167" fontId="0" fillId="2" borderId="13" xfId="0" applyNumberFormat="1" applyFill="1" applyBorder="1"/>
    <xf numFmtId="0" fontId="69" fillId="0" borderId="0" xfId="0" applyFont="1"/>
    <xf numFmtId="10" fontId="69" fillId="2" borderId="23" xfId="0" applyNumberFormat="1" applyFont="1" applyFill="1" applyBorder="1" applyProtection="1">
      <protection locked="0"/>
    </xf>
    <xf numFmtId="167" fontId="0" fillId="3" borderId="17" xfId="0" applyNumberFormat="1" applyFill="1" applyBorder="1"/>
    <xf numFmtId="164" fontId="0" fillId="0" borderId="20" xfId="0" applyNumberFormat="1" applyBorder="1"/>
    <xf numFmtId="2" fontId="0" fillId="2" borderId="23" xfId="0" applyNumberFormat="1" applyFill="1" applyBorder="1"/>
    <xf numFmtId="4" fontId="26" fillId="0" borderId="0" xfId="2" applyNumberFormat="1" applyAlignment="1">
      <alignment horizontal="centerContinuous"/>
    </xf>
    <xf numFmtId="164" fontId="26" fillId="0" borderId="0" xfId="2" applyNumberFormat="1" applyAlignment="1">
      <alignment horizontal="centerContinuous"/>
    </xf>
    <xf numFmtId="4" fontId="26" fillId="0" borderId="0" xfId="2" applyNumberFormat="1"/>
    <xf numFmtId="164" fontId="26" fillId="0" borderId="0" xfId="2" applyNumberFormat="1"/>
    <xf numFmtId="4" fontId="27" fillId="0" borderId="0" xfId="2" applyNumberFormat="1" applyFont="1" applyAlignment="1">
      <alignment horizontal="center" wrapText="1"/>
    </xf>
    <xf numFmtId="164" fontId="27" fillId="0" borderId="0" xfId="2" applyNumberFormat="1" applyFont="1" applyAlignment="1">
      <alignment horizontal="center" wrapText="1"/>
    </xf>
    <xf numFmtId="4" fontId="26" fillId="2" borderId="23" xfId="2" applyNumberFormat="1" applyFill="1" applyBorder="1" applyProtection="1">
      <protection locked="0"/>
    </xf>
    <xf numFmtId="4" fontId="26" fillId="2" borderId="23" xfId="2" applyNumberFormat="1" applyFill="1" applyBorder="1"/>
    <xf numFmtId="4" fontId="26" fillId="0" borderId="12" xfId="2" applyNumberFormat="1" applyBorder="1"/>
    <xf numFmtId="164" fontId="26" fillId="5" borderId="23" xfId="2" applyNumberFormat="1" applyFill="1" applyBorder="1"/>
    <xf numFmtId="49" fontId="26" fillId="5" borderId="14" xfId="2" applyNumberFormat="1" applyFill="1" applyBorder="1" applyProtection="1">
      <protection locked="0"/>
    </xf>
    <xf numFmtId="49" fontId="26" fillId="5" borderId="15" xfId="2" applyNumberFormat="1" applyFill="1" applyBorder="1" applyProtection="1">
      <protection locked="0"/>
    </xf>
    <xf numFmtId="3" fontId="26" fillId="5" borderId="23" xfId="2" applyNumberFormat="1" applyFill="1" applyBorder="1" applyProtection="1">
      <protection locked="0"/>
    </xf>
    <xf numFmtId="164" fontId="26" fillId="5" borderId="13" xfId="2" applyNumberFormat="1" applyFill="1" applyBorder="1" applyProtection="1">
      <protection locked="0"/>
    </xf>
    <xf numFmtId="4" fontId="26" fillId="0" borderId="20" xfId="2" applyNumberFormat="1" applyBorder="1"/>
    <xf numFmtId="164" fontId="26" fillId="0" borderId="20" xfId="2" applyNumberFormat="1" applyBorder="1"/>
    <xf numFmtId="3" fontId="26" fillId="3" borderId="0" xfId="2" applyNumberFormat="1" applyFill="1"/>
    <xf numFmtId="4" fontId="26" fillId="3" borderId="0" xfId="2" applyNumberFormat="1" applyFill="1"/>
    <xf numFmtId="0" fontId="26" fillId="0" borderId="13" xfId="2" applyBorder="1"/>
    <xf numFmtId="0" fontId="26" fillId="0" borderId="14" xfId="2" applyBorder="1"/>
    <xf numFmtId="0" fontId="26" fillId="0" borderId="15" xfId="2" applyBorder="1"/>
    <xf numFmtId="0" fontId="26" fillId="5" borderId="18" xfId="2" applyFill="1" applyBorder="1"/>
    <xf numFmtId="0" fontId="26" fillId="5" borderId="13" xfId="2" applyFill="1" applyBorder="1"/>
    <xf numFmtId="0" fontId="26" fillId="5" borderId="15" xfId="2" applyFill="1" applyBorder="1"/>
    <xf numFmtId="4" fontId="26" fillId="5" borderId="23" xfId="2" applyNumberFormat="1" applyFill="1" applyBorder="1" applyProtection="1">
      <protection locked="0"/>
    </xf>
    <xf numFmtId="4" fontId="26" fillId="3" borderId="0" xfId="2" applyNumberFormat="1" applyFill="1" applyProtection="1">
      <protection locked="0"/>
    </xf>
    <xf numFmtId="4" fontId="0" fillId="0" borderId="0" xfId="0" applyNumberFormat="1"/>
    <xf numFmtId="4" fontId="26" fillId="2" borderId="17" xfId="2" applyNumberFormat="1" applyFill="1" applyBorder="1"/>
    <xf numFmtId="4" fontId="26" fillId="3" borderId="17" xfId="2" applyNumberFormat="1" applyFill="1" applyBorder="1"/>
    <xf numFmtId="164" fontId="26" fillId="2" borderId="21" xfId="2" applyNumberFormat="1" applyFill="1" applyBorder="1"/>
    <xf numFmtId="167" fontId="56" fillId="0" borderId="23" xfId="19" applyNumberFormat="1" applyFont="1" applyBorder="1" applyAlignment="1">
      <alignment horizontal="right"/>
    </xf>
    <xf numFmtId="6" fontId="56" fillId="0" borderId="23" xfId="0" applyNumberFormat="1" applyFont="1" applyBorder="1"/>
    <xf numFmtId="167" fontId="67" fillId="8" borderId="23" xfId="0" applyNumberFormat="1" applyFont="1" applyFill="1" applyBorder="1"/>
    <xf numFmtId="0" fontId="1" fillId="0" borderId="0" xfId="3" applyFont="1"/>
    <xf numFmtId="166" fontId="78" fillId="0" borderId="0" xfId="84" applyNumberFormat="1" applyFont="1"/>
    <xf numFmtId="6" fontId="1" fillId="0" borderId="0" xfId="118" applyNumberFormat="1"/>
    <xf numFmtId="6" fontId="1" fillId="0" borderId="0" xfId="118" applyNumberFormat="1" applyAlignment="1">
      <alignment horizontal="right"/>
    </xf>
    <xf numFmtId="166" fontId="77" fillId="8" borderId="0" xfId="18" applyNumberFormat="1" applyFont="1" applyFill="1"/>
    <xf numFmtId="166" fontId="78" fillId="0" borderId="0" xfId="5" applyNumberFormat="1" applyFont="1"/>
    <xf numFmtId="166" fontId="78" fillId="0" borderId="0" xfId="5" applyNumberFormat="1" applyFont="1" applyFill="1"/>
    <xf numFmtId="166" fontId="78" fillId="0" borderId="0" xfId="18" applyNumberFormat="1" applyFont="1"/>
    <xf numFmtId="167" fontId="25" fillId="8" borderId="0" xfId="19" applyNumberFormat="1" applyFont="1" applyFill="1" applyAlignment="1">
      <alignment horizontal="right"/>
    </xf>
    <xf numFmtId="6" fontId="1" fillId="0" borderId="0" xfId="160" applyNumberFormat="1"/>
    <xf numFmtId="44" fontId="0" fillId="2" borderId="23" xfId="58" applyFont="1" applyFill="1" applyBorder="1" applyProtection="1">
      <protection locked="0"/>
    </xf>
    <xf numFmtId="7" fontId="26" fillId="2" borderId="23" xfId="2" applyNumberFormat="1" applyFill="1" applyBorder="1" applyProtection="1">
      <protection locked="0"/>
    </xf>
    <xf numFmtId="0" fontId="33" fillId="0" borderId="1" xfId="3" applyFont="1" applyBorder="1" applyAlignment="1">
      <alignment horizontal="center" wrapText="1"/>
    </xf>
    <xf numFmtId="0" fontId="33" fillId="8" borderId="1" xfId="3" applyFont="1" applyFill="1" applyBorder="1" applyAlignment="1">
      <alignment horizontal="center"/>
    </xf>
    <xf numFmtId="0" fontId="33" fillId="0" borderId="0" xfId="3" applyFont="1" applyAlignment="1">
      <alignment horizontal="left"/>
    </xf>
    <xf numFmtId="0" fontId="3" fillId="0" borderId="0" xfId="3" applyFont="1" applyAlignment="1">
      <alignment horizontal="left" wrapText="1"/>
    </xf>
    <xf numFmtId="0" fontId="11" fillId="0" borderId="0" xfId="3" applyFont="1" applyAlignment="1">
      <alignment horizontal="left" wrapText="1"/>
    </xf>
    <xf numFmtId="49" fontId="53" fillId="0" borderId="0" xfId="20" applyNumberFormat="1" applyFont="1" applyAlignment="1">
      <alignment horizontal="center"/>
    </xf>
    <xf numFmtId="49" fontId="29" fillId="2" borderId="3" xfId="0" applyNumberFormat="1" applyFont="1" applyFill="1" applyBorder="1" applyProtection="1">
      <protection locked="0"/>
    </xf>
    <xf numFmtId="49" fontId="29" fillId="2" borderId="4" xfId="0" applyNumberFormat="1" applyFont="1" applyFill="1" applyBorder="1" applyProtection="1">
      <protection locked="0"/>
    </xf>
    <xf numFmtId="49" fontId="29" fillId="2" borderId="5" xfId="0" applyNumberFormat="1" applyFont="1" applyFill="1" applyBorder="1" applyProtection="1">
      <protection locked="0"/>
    </xf>
    <xf numFmtId="49" fontId="26" fillId="0" borderId="0" xfId="20" applyNumberFormat="1" applyFont="1" applyProtection="1">
      <protection locked="0"/>
    </xf>
    <xf numFmtId="49" fontId="26" fillId="0" borderId="9" xfId="20" applyNumberFormat="1" applyFont="1" applyBorder="1" applyProtection="1">
      <protection locked="0"/>
    </xf>
    <xf numFmtId="0" fontId="30" fillId="0" borderId="0" xfId="0" applyFont="1" applyAlignment="1">
      <alignment horizontal="center"/>
    </xf>
    <xf numFmtId="0" fontId="28" fillId="0" borderId="0" xfId="0" applyFont="1" applyAlignment="1">
      <alignment horizontal="center"/>
    </xf>
    <xf numFmtId="49" fontId="29" fillId="2" borderId="13" xfId="0" applyNumberFormat="1" applyFont="1" applyFill="1" applyBorder="1" applyProtection="1">
      <protection locked="0"/>
    </xf>
    <xf numFmtId="49" fontId="29" fillId="2" borderId="14" xfId="0" applyNumberFormat="1" applyFont="1" applyFill="1" applyBorder="1" applyProtection="1">
      <protection locked="0"/>
    </xf>
    <xf numFmtId="49" fontId="29" fillId="2" borderId="15" xfId="0" applyNumberFormat="1" applyFont="1" applyFill="1" applyBorder="1" applyProtection="1">
      <protection locked="0"/>
    </xf>
    <xf numFmtId="49" fontId="52" fillId="4" borderId="13" xfId="21" applyNumberFormat="1" applyFill="1" applyBorder="1" applyAlignment="1" applyProtection="1">
      <alignment horizontal="center" vertical="center" shrinkToFit="1"/>
      <protection locked="0"/>
    </xf>
    <xf numFmtId="49" fontId="0" fillId="4" borderId="14" xfId="0" applyNumberFormat="1" applyFill="1" applyBorder="1" applyAlignment="1" applyProtection="1">
      <alignment horizontal="center" vertical="center" shrinkToFit="1"/>
      <protection locked="0"/>
    </xf>
    <xf numFmtId="0" fontId="26" fillId="0" borderId="0" xfId="0" applyFont="1"/>
    <xf numFmtId="0" fontId="0" fillId="0" borderId="0" xfId="0"/>
    <xf numFmtId="0" fontId="31" fillId="0" borderId="0" xfId="0" applyFont="1" applyAlignment="1">
      <alignment vertical="justify" wrapText="1"/>
    </xf>
    <xf numFmtId="0" fontId="32" fillId="0" borderId="0" xfId="0" applyFont="1" applyAlignment="1">
      <alignment vertical="justify" wrapText="1"/>
    </xf>
    <xf numFmtId="0" fontId="32" fillId="0" borderId="0" xfId="0" applyFont="1"/>
    <xf numFmtId="49" fontId="0" fillId="4" borderId="13" xfId="0" applyNumberFormat="1" applyFill="1" applyBorder="1" applyAlignment="1" applyProtection="1">
      <alignment horizontal="center" vertical="center" shrinkToFit="1"/>
      <protection locked="0"/>
    </xf>
    <xf numFmtId="49" fontId="0" fillId="0" borderId="14" xfId="0" applyNumberFormat="1" applyBorder="1" applyAlignment="1" applyProtection="1">
      <alignment horizontal="center" vertical="center" shrinkToFit="1"/>
      <protection locked="0"/>
    </xf>
    <xf numFmtId="49" fontId="0" fillId="0" borderId="15" xfId="0" applyNumberFormat="1" applyBorder="1" applyAlignment="1" applyProtection="1">
      <alignment horizontal="center" vertical="center" shrinkToFit="1"/>
      <protection locked="0"/>
    </xf>
    <xf numFmtId="1" fontId="0" fillId="4" borderId="13" xfId="0" quotePrefix="1" applyNumberForma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3" fontId="0" fillId="4" borderId="13" xfId="0" applyNumberFormat="1" applyFill="1" applyBorder="1" applyAlignment="1" applyProtection="1">
      <alignment horizontal="center" vertical="center" shrinkToFit="1"/>
      <protection locked="0"/>
    </xf>
    <xf numFmtId="3" fontId="0" fillId="0" borderId="14" xfId="0" applyNumberFormat="1" applyBorder="1" applyAlignment="1" applyProtection="1">
      <alignment horizontal="center" vertical="center" shrinkToFit="1"/>
      <protection locked="0"/>
    </xf>
    <xf numFmtId="3" fontId="0" fillId="0" borderId="15" xfId="0" applyNumberFormat="1" applyBorder="1" applyAlignment="1" applyProtection="1">
      <alignment horizontal="center" vertical="center" shrinkToFit="1"/>
      <protection locked="0"/>
    </xf>
    <xf numFmtId="165" fontId="0" fillId="4" borderId="13" xfId="0" applyNumberFormat="1" applyFill="1" applyBorder="1" applyAlignment="1" applyProtection="1">
      <alignment horizontal="center" vertical="center" shrinkToFit="1"/>
      <protection locked="0"/>
    </xf>
    <xf numFmtId="165" fontId="0" fillId="0" borderId="14" xfId="0" applyNumberFormat="1" applyBorder="1" applyAlignment="1" applyProtection="1">
      <alignment horizontal="center" vertical="center" shrinkToFit="1"/>
      <protection locked="0"/>
    </xf>
    <xf numFmtId="165" fontId="0" fillId="0" borderId="15" xfId="0" applyNumberFormat="1" applyBorder="1" applyAlignment="1" applyProtection="1">
      <alignment horizontal="center" vertical="center" shrinkToFit="1"/>
      <protection locked="0"/>
    </xf>
    <xf numFmtId="49" fontId="26" fillId="2" borderId="13" xfId="0" applyNumberFormat="1" applyFont="1" applyFill="1" applyBorder="1" applyProtection="1">
      <protection locked="0"/>
    </xf>
    <xf numFmtId="49" fontId="0" fillId="2" borderId="14" xfId="0" applyNumberFormat="1" applyFill="1" applyBorder="1" applyProtection="1">
      <protection locked="0"/>
    </xf>
    <xf numFmtId="49" fontId="0" fillId="2" borderId="15" xfId="0" applyNumberFormat="1" applyFill="1" applyBorder="1" applyProtection="1">
      <protection locked="0"/>
    </xf>
    <xf numFmtId="49" fontId="0" fillId="2" borderId="13" xfId="0" applyNumberFormat="1" applyFill="1" applyBorder="1" applyProtection="1">
      <protection locked="0"/>
    </xf>
    <xf numFmtId="0" fontId="27" fillId="0" borderId="10" xfId="0" applyFont="1" applyBorder="1" applyAlignment="1">
      <alignment wrapText="1"/>
    </xf>
    <xf numFmtId="0" fontId="0" fillId="0" borderId="10" xfId="0" applyBorder="1" applyAlignment="1">
      <alignment wrapText="1"/>
    </xf>
    <xf numFmtId="49" fontId="0" fillId="2" borderId="22" xfId="0" applyNumberFormat="1" applyFill="1" applyBorder="1" applyProtection="1">
      <protection locked="0"/>
    </xf>
    <xf numFmtId="49" fontId="0" fillId="2" borderId="10" xfId="0" applyNumberFormat="1" applyFill="1" applyBorder="1" applyProtection="1">
      <protection locked="0"/>
    </xf>
    <xf numFmtId="165" fontId="0" fillId="4" borderId="13" xfId="0" applyNumberFormat="1" applyFill="1" applyBorder="1" applyAlignment="1" applyProtection="1">
      <alignment shrinkToFit="1"/>
      <protection locked="0"/>
    </xf>
    <xf numFmtId="165" fontId="0" fillId="0" borderId="14" xfId="0" applyNumberFormat="1" applyBorder="1" applyAlignment="1" applyProtection="1">
      <alignment shrinkToFit="1"/>
      <protection locked="0"/>
    </xf>
    <xf numFmtId="165" fontId="0" fillId="0" borderId="15" xfId="0" applyNumberFormat="1" applyBorder="1" applyAlignment="1" applyProtection="1">
      <alignment shrinkToFit="1"/>
      <protection locked="0"/>
    </xf>
    <xf numFmtId="49" fontId="0" fillId="4" borderId="13" xfId="0" applyNumberFormat="1" applyFill="1" applyBorder="1" applyAlignment="1" applyProtection="1">
      <alignment shrinkToFit="1"/>
      <protection locked="0"/>
    </xf>
    <xf numFmtId="49" fontId="0" fillId="4" borderId="14" xfId="0" applyNumberFormat="1" applyFill="1" applyBorder="1" applyAlignment="1" applyProtection="1">
      <alignment shrinkToFit="1"/>
      <protection locked="0"/>
    </xf>
    <xf numFmtId="49" fontId="0" fillId="4" borderId="15" xfId="0" applyNumberFormat="1" applyFill="1" applyBorder="1" applyAlignment="1" applyProtection="1">
      <alignment shrinkToFit="1"/>
      <protection locked="0"/>
    </xf>
    <xf numFmtId="49" fontId="0" fillId="0" borderId="14" xfId="0" applyNumberFormat="1" applyBorder="1" applyAlignment="1" applyProtection="1">
      <alignment shrinkToFit="1"/>
      <protection locked="0"/>
    </xf>
    <xf numFmtId="49" fontId="0" fillId="0" borderId="15" xfId="0" applyNumberFormat="1" applyBorder="1" applyAlignment="1" applyProtection="1">
      <alignment shrinkToFit="1"/>
      <protection locked="0"/>
    </xf>
    <xf numFmtId="1" fontId="0" fillId="4" borderId="13" xfId="0" quotePrefix="1" applyNumberFormat="1" applyFill="1" applyBorder="1" applyAlignment="1" applyProtection="1">
      <alignment shrinkToFit="1"/>
      <protection locked="0"/>
    </xf>
    <xf numFmtId="0" fontId="0" fillId="0" borderId="14" xfId="0" applyBorder="1" applyAlignment="1" applyProtection="1">
      <alignment shrinkToFit="1"/>
      <protection locked="0"/>
    </xf>
    <xf numFmtId="0" fontId="0" fillId="0" borderId="15" xfId="0" applyBorder="1" applyAlignment="1" applyProtection="1">
      <alignment shrinkToFit="1"/>
      <protection locked="0"/>
    </xf>
    <xf numFmtId="3" fontId="0" fillId="11" borderId="13" xfId="0" applyNumberFormat="1" applyFill="1" applyBorder="1" applyAlignment="1" applyProtection="1">
      <alignment horizontal="left" shrinkToFit="1"/>
      <protection locked="0"/>
    </xf>
    <xf numFmtId="3" fontId="0" fillId="11" borderId="14" xfId="0" applyNumberFormat="1" applyFill="1" applyBorder="1" applyAlignment="1" applyProtection="1">
      <alignment horizontal="left" shrinkToFit="1"/>
      <protection locked="0"/>
    </xf>
    <xf numFmtId="3" fontId="0" fillId="11" borderId="15" xfId="0" applyNumberFormat="1" applyFill="1" applyBorder="1" applyAlignment="1" applyProtection="1">
      <alignment horizontal="left" shrinkToFit="1"/>
      <protection locked="0"/>
    </xf>
    <xf numFmtId="49" fontId="34" fillId="2" borderId="22" xfId="4" applyNumberFormat="1" applyFill="1" applyBorder="1" applyProtection="1">
      <protection locked="0"/>
    </xf>
    <xf numFmtId="49" fontId="34" fillId="2" borderId="10" xfId="4" applyNumberFormat="1" applyFill="1" applyBorder="1" applyProtection="1">
      <protection locked="0"/>
    </xf>
    <xf numFmtId="49" fontId="34" fillId="2" borderId="15" xfId="4" applyNumberFormat="1" applyFill="1" applyBorder="1" applyProtection="1">
      <protection locked="0"/>
    </xf>
    <xf numFmtId="49" fontId="70" fillId="2" borderId="13" xfId="0" applyNumberFormat="1" applyFont="1" applyFill="1" applyBorder="1" applyProtection="1">
      <protection locked="0"/>
    </xf>
    <xf numFmtId="49" fontId="70" fillId="2" borderId="14" xfId="0" applyNumberFormat="1" applyFont="1" applyFill="1" applyBorder="1" applyProtection="1">
      <protection locked="0"/>
    </xf>
    <xf numFmtId="49" fontId="70" fillId="2" borderId="15" xfId="0" applyNumberFormat="1" applyFont="1" applyFill="1" applyBorder="1" applyProtection="1">
      <protection locked="0"/>
    </xf>
    <xf numFmtId="49" fontId="70" fillId="2" borderId="22" xfId="0" applyNumberFormat="1" applyFont="1" applyFill="1" applyBorder="1" applyProtection="1">
      <protection locked="0"/>
    </xf>
    <xf numFmtId="49" fontId="70" fillId="2" borderId="10" xfId="0" applyNumberFormat="1" applyFont="1" applyFill="1" applyBorder="1" applyProtection="1">
      <protection locked="0"/>
    </xf>
    <xf numFmtId="49" fontId="52" fillId="4" borderId="13" xfId="21" applyNumberFormat="1" applyFill="1" applyBorder="1" applyAlignment="1" applyProtection="1">
      <alignment shrinkToFit="1"/>
      <protection locked="0"/>
    </xf>
    <xf numFmtId="1" fontId="0" fillId="4" borderId="13" xfId="0" quotePrefix="1" applyNumberFormat="1" applyFill="1" applyBorder="1" applyAlignment="1" applyProtection="1">
      <alignment horizontal="left" shrinkToFit="1"/>
      <protection locked="0"/>
    </xf>
    <xf numFmtId="0" fontId="0" fillId="0" borderId="14" xfId="0" applyBorder="1" applyAlignment="1" applyProtection="1">
      <alignment horizontal="left" shrinkToFit="1"/>
      <protection locked="0"/>
    </xf>
    <xf numFmtId="0" fontId="0" fillId="0" borderId="15" xfId="0" applyBorder="1" applyAlignment="1" applyProtection="1">
      <alignment horizontal="left" shrinkToFit="1"/>
      <protection locked="0"/>
    </xf>
    <xf numFmtId="3" fontId="0" fillId="4" borderId="13" xfId="0" applyNumberFormat="1" applyFill="1" applyBorder="1" applyAlignment="1" applyProtection="1">
      <alignment horizontal="left" shrinkToFit="1"/>
      <protection locked="0"/>
    </xf>
    <xf numFmtId="3" fontId="0" fillId="0" borderId="14" xfId="0" applyNumberFormat="1" applyBorder="1" applyAlignment="1" applyProtection="1">
      <alignment horizontal="left" shrinkToFit="1"/>
      <protection locked="0"/>
    </xf>
    <xf numFmtId="3" fontId="0" fillId="0" borderId="15" xfId="0" applyNumberFormat="1" applyBorder="1" applyAlignment="1" applyProtection="1">
      <alignment horizontal="left" shrinkToFit="1"/>
      <protection locked="0"/>
    </xf>
    <xf numFmtId="3" fontId="0" fillId="4" borderId="13" xfId="0" applyNumberFormat="1" applyFill="1" applyBorder="1" applyAlignment="1" applyProtection="1">
      <alignment shrinkToFit="1"/>
      <protection locked="0"/>
    </xf>
    <xf numFmtId="3" fontId="0" fillId="0" borderId="14" xfId="0" applyNumberFormat="1" applyBorder="1" applyAlignment="1" applyProtection="1">
      <alignment shrinkToFit="1"/>
      <protection locked="0"/>
    </xf>
    <xf numFmtId="3" fontId="0" fillId="0" borderId="15" xfId="0" applyNumberFormat="1" applyBorder="1" applyAlignment="1" applyProtection="1">
      <alignment shrinkToFit="1"/>
      <protection locked="0"/>
    </xf>
    <xf numFmtId="49" fontId="68" fillId="4" borderId="13" xfId="117" applyNumberFormat="1" applyFill="1" applyBorder="1" applyAlignment="1" applyProtection="1">
      <alignment shrinkToFit="1"/>
      <protection locked="0"/>
    </xf>
    <xf numFmtId="49" fontId="32" fillId="2" borderId="13" xfId="0" applyNumberFormat="1" applyFont="1" applyFill="1" applyBorder="1" applyProtection="1">
      <protection locked="0"/>
    </xf>
    <xf numFmtId="49" fontId="32" fillId="2" borderId="14" xfId="0" applyNumberFormat="1" applyFont="1" applyFill="1" applyBorder="1" applyProtection="1">
      <protection locked="0"/>
    </xf>
    <xf numFmtId="49" fontId="32" fillId="2" borderId="15" xfId="0" applyNumberFormat="1" applyFont="1" applyFill="1" applyBorder="1" applyProtection="1">
      <protection locked="0"/>
    </xf>
    <xf numFmtId="49" fontId="29" fillId="2" borderId="13" xfId="2" applyNumberFormat="1" applyFont="1" applyFill="1" applyBorder="1" applyProtection="1">
      <protection locked="0"/>
    </xf>
    <xf numFmtId="49" fontId="29" fillId="2" borderId="14" xfId="2" applyNumberFormat="1" applyFont="1" applyFill="1" applyBorder="1" applyProtection="1">
      <protection locked="0"/>
    </xf>
    <xf numFmtId="49" fontId="29" fillId="2" borderId="15" xfId="2" applyNumberFormat="1" applyFont="1" applyFill="1" applyBorder="1" applyProtection="1">
      <protection locked="0"/>
    </xf>
    <xf numFmtId="0" fontId="27" fillId="0" borderId="10" xfId="2" applyFont="1" applyBorder="1" applyAlignment="1">
      <alignment wrapText="1"/>
    </xf>
    <xf numFmtId="0" fontId="26" fillId="0" borderId="10" xfId="2" applyBorder="1" applyAlignment="1">
      <alignment wrapText="1"/>
    </xf>
    <xf numFmtId="49" fontId="26" fillId="2" borderId="13" xfId="2" applyNumberFormat="1" applyFill="1" applyBorder="1" applyProtection="1">
      <protection locked="0"/>
    </xf>
    <xf numFmtId="49" fontId="26" fillId="2" borderId="14" xfId="2" applyNumberFormat="1" applyFill="1" applyBorder="1" applyProtection="1">
      <protection locked="0"/>
    </xf>
    <xf numFmtId="49" fontId="26" fillId="2" borderId="15" xfId="2" applyNumberFormat="1" applyFill="1" applyBorder="1" applyProtection="1">
      <protection locked="0"/>
    </xf>
    <xf numFmtId="49" fontId="26" fillId="2" borderId="22" xfId="2" applyNumberFormat="1" applyFill="1" applyBorder="1" applyProtection="1">
      <protection locked="0"/>
    </xf>
    <xf numFmtId="49" fontId="26" fillId="2" borderId="10" xfId="2" applyNumberFormat="1" applyFill="1" applyBorder="1" applyProtection="1">
      <protection locked="0"/>
    </xf>
    <xf numFmtId="0" fontId="51" fillId="5" borderId="13" xfId="0" applyFont="1" applyFill="1" applyBorder="1" applyAlignment="1">
      <alignment horizontal="left" wrapText="1" shrinkToFit="1"/>
    </xf>
    <xf numFmtId="0" fontId="0" fillId="0" borderId="14" xfId="0" applyBorder="1"/>
    <xf numFmtId="0" fontId="0" fillId="0" borderId="15" xfId="0" applyBorder="1"/>
    <xf numFmtId="0" fontId="0" fillId="5" borderId="14" xfId="0" applyFill="1" applyBorder="1"/>
    <xf numFmtId="0" fontId="0" fillId="5" borderId="15" xfId="0" applyFill="1" applyBorder="1"/>
    <xf numFmtId="0" fontId="26" fillId="0" borderId="0" xfId="2"/>
    <xf numFmtId="165" fontId="26" fillId="4" borderId="13" xfId="2" applyNumberFormat="1" applyFill="1" applyBorder="1" applyAlignment="1" applyProtection="1">
      <alignment shrinkToFit="1"/>
      <protection locked="0"/>
    </xf>
    <xf numFmtId="165" fontId="26" fillId="0" borderId="14" xfId="2" applyNumberFormat="1" applyBorder="1" applyAlignment="1" applyProtection="1">
      <alignment shrinkToFit="1"/>
      <protection locked="0"/>
    </xf>
    <xf numFmtId="165" fontId="26" fillId="0" borderId="15" xfId="2" applyNumberFormat="1" applyBorder="1" applyAlignment="1" applyProtection="1">
      <alignment shrinkToFit="1"/>
      <protection locked="0"/>
    </xf>
    <xf numFmtId="0" fontId="30" fillId="0" borderId="0" xfId="2" applyFont="1" applyAlignment="1">
      <alignment horizontal="center"/>
    </xf>
    <xf numFmtId="0" fontId="28" fillId="0" borderId="0" xfId="2" applyFont="1" applyAlignment="1">
      <alignment horizontal="center"/>
    </xf>
    <xf numFmtId="49" fontId="26" fillId="4" borderId="13" xfId="2" applyNumberFormat="1" applyFill="1" applyBorder="1" applyAlignment="1" applyProtection="1">
      <alignment shrinkToFit="1"/>
      <protection locked="0"/>
    </xf>
    <xf numFmtId="49" fontId="26" fillId="0" borderId="14" xfId="2" applyNumberFormat="1" applyBorder="1" applyAlignment="1" applyProtection="1">
      <alignment shrinkToFit="1"/>
      <protection locked="0"/>
    </xf>
    <xf numFmtId="49" fontId="26" fillId="0" borderId="15" xfId="2" applyNumberFormat="1" applyBorder="1" applyAlignment="1" applyProtection="1">
      <alignment shrinkToFit="1"/>
      <protection locked="0"/>
    </xf>
    <xf numFmtId="1" fontId="26" fillId="4" borderId="13" xfId="2" quotePrefix="1" applyNumberFormat="1" applyFill="1" applyBorder="1" applyAlignment="1" applyProtection="1">
      <alignment shrinkToFit="1"/>
      <protection locked="0"/>
    </xf>
    <xf numFmtId="1" fontId="26" fillId="4" borderId="14" xfId="2" quotePrefix="1" applyNumberFormat="1" applyFill="1" applyBorder="1" applyAlignment="1" applyProtection="1">
      <alignment shrinkToFit="1"/>
      <protection locked="0"/>
    </xf>
    <xf numFmtId="1" fontId="26" fillId="4" borderId="15" xfId="2" quotePrefix="1" applyNumberFormat="1" applyFill="1" applyBorder="1" applyAlignment="1" applyProtection="1">
      <alignment shrinkToFit="1"/>
      <protection locked="0"/>
    </xf>
    <xf numFmtId="3" fontId="26" fillId="4" borderId="13" xfId="2" applyNumberFormat="1" applyFill="1" applyBorder="1" applyAlignment="1" applyProtection="1">
      <alignment shrinkToFit="1"/>
      <protection locked="0"/>
    </xf>
    <xf numFmtId="3" fontId="26" fillId="0" borderId="14" xfId="2" applyNumberFormat="1" applyBorder="1" applyAlignment="1" applyProtection="1">
      <alignment shrinkToFit="1"/>
      <protection locked="0"/>
    </xf>
    <xf numFmtId="3" fontId="26" fillId="0" borderId="15" xfId="2" applyNumberFormat="1" applyBorder="1" applyAlignment="1" applyProtection="1">
      <alignment shrinkToFit="1"/>
      <protection locked="0"/>
    </xf>
    <xf numFmtId="49" fontId="50" fillId="4" borderId="13" xfId="16" applyNumberFormat="1" applyFill="1" applyBorder="1" applyAlignment="1" applyProtection="1">
      <alignment shrinkToFit="1"/>
      <protection locked="0"/>
    </xf>
    <xf numFmtId="49" fontId="26" fillId="4" borderId="14" xfId="2" applyNumberFormat="1" applyFill="1" applyBorder="1" applyAlignment="1" applyProtection="1">
      <alignment shrinkToFit="1"/>
      <protection locked="0"/>
    </xf>
    <xf numFmtId="0" fontId="31" fillId="0" borderId="0" xfId="2" applyFont="1" applyAlignment="1">
      <alignment vertical="justify" wrapText="1"/>
    </xf>
    <xf numFmtId="0" fontId="32" fillId="0" borderId="0" xfId="2" applyFont="1" applyAlignment="1">
      <alignment vertical="justify" wrapText="1"/>
    </xf>
    <xf numFmtId="0" fontId="32" fillId="0" borderId="0" xfId="2" applyFont="1"/>
    <xf numFmtId="49" fontId="26" fillId="4" borderId="13" xfId="0" applyNumberFormat="1" applyFont="1" applyFill="1" applyBorder="1" applyAlignment="1" applyProtection="1">
      <alignment shrinkToFit="1"/>
      <protection locked="0"/>
    </xf>
    <xf numFmtId="49" fontId="0" fillId="0" borderId="10" xfId="0" applyNumberFormat="1" applyBorder="1" applyProtection="1">
      <protection locked="0"/>
    </xf>
    <xf numFmtId="165" fontId="26" fillId="4" borderId="13" xfId="0" applyNumberFormat="1" applyFont="1" applyFill="1" applyBorder="1" applyAlignment="1" applyProtection="1">
      <alignment shrinkToFit="1"/>
      <protection locked="0"/>
    </xf>
    <xf numFmtId="49" fontId="26" fillId="2" borderId="13" xfId="0" applyNumberFormat="1" applyFont="1" applyFill="1" applyBorder="1" applyAlignment="1" applyProtection="1">
      <alignment wrapText="1"/>
      <protection locked="0"/>
    </xf>
    <xf numFmtId="49" fontId="0" fillId="2" borderId="14" xfId="0" applyNumberFormat="1" applyFill="1" applyBorder="1" applyAlignment="1" applyProtection="1">
      <alignment wrapText="1"/>
      <protection locked="0"/>
    </xf>
    <xf numFmtId="49" fontId="0" fillId="2" borderId="15" xfId="0" applyNumberFormat="1" applyFill="1" applyBorder="1" applyAlignment="1" applyProtection="1">
      <alignment wrapText="1"/>
      <protection locked="0"/>
    </xf>
    <xf numFmtId="1" fontId="26" fillId="4" borderId="13" xfId="0" quotePrefix="1" applyNumberFormat="1" applyFont="1" applyFill="1" applyBorder="1" applyAlignment="1" applyProtection="1">
      <alignment shrinkToFit="1"/>
      <protection locked="0"/>
    </xf>
    <xf numFmtId="165" fontId="0" fillId="4" borderId="14" xfId="0" applyNumberFormat="1" applyFill="1" applyBorder="1" applyAlignment="1" applyProtection="1">
      <alignment shrinkToFit="1"/>
      <protection locked="0"/>
    </xf>
    <xf numFmtId="165" fontId="0" fillId="4" borderId="15" xfId="0" applyNumberFormat="1" applyFill="1" applyBorder="1" applyAlignment="1" applyProtection="1">
      <alignment shrinkToFit="1"/>
      <protection locked="0"/>
    </xf>
    <xf numFmtId="49" fontId="26" fillId="2" borderId="22" xfId="0" applyNumberFormat="1" applyFont="1" applyFill="1" applyBorder="1" applyProtection="1">
      <protection locked="0"/>
    </xf>
    <xf numFmtId="1" fontId="26" fillId="4" borderId="13" xfId="0" applyNumberFormat="1" applyFont="1" applyFill="1" applyBorder="1" applyAlignment="1" applyProtection="1">
      <alignment horizontal="left" shrinkToFit="1"/>
      <protection locked="0"/>
    </xf>
    <xf numFmtId="49" fontId="29" fillId="2" borderId="23" xfId="0" applyNumberFormat="1" applyFont="1" applyFill="1" applyBorder="1" applyProtection="1">
      <protection locked="0"/>
    </xf>
    <xf numFmtId="49" fontId="0" fillId="2" borderId="23" xfId="0" applyNumberFormat="1" applyFill="1" applyBorder="1" applyAlignment="1" applyProtection="1">
      <alignment horizontal="center"/>
      <protection locked="0"/>
    </xf>
    <xf numFmtId="49" fontId="26" fillId="8" borderId="0" xfId="0" applyNumberFormat="1" applyFont="1" applyFill="1" applyProtection="1">
      <protection locked="0"/>
    </xf>
    <xf numFmtId="49" fontId="68" fillId="4" borderId="14" xfId="117" applyNumberFormat="1" applyFill="1" applyBorder="1" applyAlignment="1" applyProtection="1">
      <alignment shrinkToFit="1"/>
      <protection locked="0"/>
    </xf>
    <xf numFmtId="49" fontId="56" fillId="2" borderId="13" xfId="0" applyNumberFormat="1" applyFont="1" applyFill="1" applyBorder="1" applyProtection="1">
      <protection locked="0"/>
    </xf>
    <xf numFmtId="49" fontId="56" fillId="2" borderId="14" xfId="0" applyNumberFormat="1" applyFont="1" applyFill="1" applyBorder="1" applyProtection="1">
      <protection locked="0"/>
    </xf>
    <xf numFmtId="49" fontId="56" fillId="2" borderId="15" xfId="0" applyNumberFormat="1" applyFont="1" applyFill="1" applyBorder="1" applyProtection="1">
      <protection locked="0"/>
    </xf>
    <xf numFmtId="49" fontId="57" fillId="4" borderId="13" xfId="34" applyNumberFormat="1" applyFill="1" applyBorder="1" applyAlignment="1" applyProtection="1">
      <alignment shrinkToFit="1"/>
      <protection locked="0"/>
    </xf>
    <xf numFmtId="49" fontId="72" fillId="5" borderId="13" xfId="117" applyNumberFormat="1" applyFont="1" applyFill="1" applyBorder="1" applyAlignment="1" applyProtection="1">
      <alignment shrinkToFit="1"/>
      <protection locked="0"/>
    </xf>
    <xf numFmtId="49" fontId="26" fillId="5" borderId="14" xfId="0" applyNumberFormat="1" applyFont="1" applyFill="1" applyBorder="1" applyAlignment="1" applyProtection="1">
      <alignment shrinkToFit="1"/>
      <protection locked="0"/>
    </xf>
    <xf numFmtId="49" fontId="0" fillId="5" borderId="13" xfId="0" applyNumberFormat="1" applyFill="1" applyBorder="1" applyAlignment="1" applyProtection="1">
      <alignment shrinkToFit="1"/>
      <protection locked="0"/>
    </xf>
    <xf numFmtId="49" fontId="0" fillId="5" borderId="14" xfId="0" applyNumberFormat="1" applyFill="1" applyBorder="1" applyAlignment="1" applyProtection="1">
      <alignment shrinkToFit="1"/>
      <protection locked="0"/>
    </xf>
    <xf numFmtId="49" fontId="0" fillId="5" borderId="15" xfId="0" applyNumberFormat="1" applyFill="1" applyBorder="1" applyAlignment="1" applyProtection="1">
      <alignment shrinkToFit="1"/>
      <protection locked="0"/>
    </xf>
    <xf numFmtId="1" fontId="0" fillId="5" borderId="13" xfId="0" quotePrefix="1" applyNumberFormat="1" applyFill="1" applyBorder="1" applyAlignment="1" applyProtection="1">
      <alignment shrinkToFit="1"/>
      <protection locked="0"/>
    </xf>
    <xf numFmtId="0" fontId="0" fillId="5" borderId="14" xfId="0" applyFill="1" applyBorder="1" applyAlignment="1" applyProtection="1">
      <alignment shrinkToFit="1"/>
      <protection locked="0"/>
    </xf>
    <xf numFmtId="0" fontId="0" fillId="5" borderId="15" xfId="0" applyFill="1" applyBorder="1" applyAlignment="1" applyProtection="1">
      <alignment shrinkToFit="1"/>
      <protection locked="0"/>
    </xf>
    <xf numFmtId="3" fontId="26" fillId="5" borderId="13" xfId="0" applyNumberFormat="1" applyFont="1" applyFill="1" applyBorder="1" applyAlignment="1" applyProtection="1">
      <alignment shrinkToFit="1"/>
      <protection locked="0"/>
    </xf>
    <xf numFmtId="3" fontId="26" fillId="5" borderId="14" xfId="0" applyNumberFormat="1" applyFont="1" applyFill="1" applyBorder="1" applyAlignment="1" applyProtection="1">
      <alignment shrinkToFit="1"/>
      <protection locked="0"/>
    </xf>
    <xf numFmtId="3" fontId="26" fillId="5" borderId="15" xfId="0" applyNumberFormat="1" applyFont="1" applyFill="1" applyBorder="1" applyAlignment="1" applyProtection="1">
      <alignment shrinkToFit="1"/>
      <protection locked="0"/>
    </xf>
    <xf numFmtId="165" fontId="0" fillId="5" borderId="13" xfId="0" applyNumberFormat="1" applyFill="1" applyBorder="1" applyAlignment="1" applyProtection="1">
      <alignment shrinkToFit="1"/>
      <protection locked="0"/>
    </xf>
    <xf numFmtId="165" fontId="0" fillId="5" borderId="14" xfId="0" applyNumberFormat="1" applyFill="1" applyBorder="1" applyAlignment="1" applyProtection="1">
      <alignment shrinkToFit="1"/>
      <protection locked="0"/>
    </xf>
    <xf numFmtId="165" fontId="0" fillId="5" borderId="15" xfId="0" applyNumberFormat="1" applyFill="1" applyBorder="1" applyAlignment="1" applyProtection="1">
      <alignment shrinkToFit="1"/>
      <protection locked="0"/>
    </xf>
    <xf numFmtId="49" fontId="32" fillId="0" borderId="13" xfId="0" applyNumberFormat="1" applyFont="1" applyBorder="1" applyProtection="1">
      <protection locked="0"/>
    </xf>
    <xf numFmtId="49" fontId="29" fillId="0" borderId="14" xfId="0" applyNumberFormat="1" applyFont="1" applyBorder="1" applyProtection="1">
      <protection locked="0"/>
    </xf>
    <xf numFmtId="49" fontId="29" fillId="0" borderId="15" xfId="0" applyNumberFormat="1" applyFont="1" applyBorder="1" applyProtection="1">
      <protection locked="0"/>
    </xf>
    <xf numFmtId="49" fontId="26" fillId="4" borderId="15" xfId="2" applyNumberFormat="1" applyFill="1" applyBorder="1" applyAlignment="1" applyProtection="1">
      <alignment shrinkToFit="1"/>
      <protection locked="0"/>
    </xf>
    <xf numFmtId="0" fontId="27" fillId="0" borderId="0" xfId="2" applyFont="1" applyAlignment="1">
      <alignment horizontal="center"/>
    </xf>
    <xf numFmtId="165" fontId="26" fillId="4" borderId="14" xfId="2" applyNumberFormat="1" applyFill="1" applyBorder="1" applyAlignment="1" applyProtection="1">
      <alignment shrinkToFit="1"/>
      <protection locked="0"/>
    </xf>
    <xf numFmtId="165" fontId="26" fillId="4" borderId="15" xfId="2" applyNumberFormat="1" applyFill="1" applyBorder="1" applyAlignment="1" applyProtection="1">
      <alignment shrinkToFit="1"/>
      <protection locked="0"/>
    </xf>
    <xf numFmtId="3" fontId="26" fillId="4" borderId="13" xfId="2" applyNumberFormat="1" applyFill="1" applyBorder="1" applyAlignment="1" applyProtection="1">
      <alignment horizontal="left" shrinkToFit="1"/>
      <protection locked="0"/>
    </xf>
    <xf numFmtId="3" fontId="26" fillId="4" borderId="14" xfId="2" applyNumberFormat="1" applyFill="1" applyBorder="1" applyAlignment="1" applyProtection="1">
      <alignment horizontal="left" shrinkToFit="1"/>
      <protection locked="0"/>
    </xf>
    <xf numFmtId="3" fontId="26" fillId="4" borderId="15" xfId="2" applyNumberFormat="1" applyFill="1" applyBorder="1" applyAlignment="1" applyProtection="1">
      <alignment horizontal="left" shrinkToFit="1"/>
      <protection locked="0"/>
    </xf>
    <xf numFmtId="49" fontId="26" fillId="4" borderId="13" xfId="2" applyNumberFormat="1" applyFill="1" applyBorder="1" applyAlignment="1" applyProtection="1">
      <alignment horizontal="left" shrinkToFit="1"/>
      <protection locked="0"/>
    </xf>
    <xf numFmtId="49" fontId="26" fillId="4" borderId="14" xfId="2" applyNumberFormat="1" applyFill="1" applyBorder="1" applyAlignment="1" applyProtection="1">
      <alignment horizontal="left" shrinkToFit="1"/>
      <protection locked="0"/>
    </xf>
    <xf numFmtId="49" fontId="26" fillId="4" borderId="15" xfId="2" applyNumberFormat="1" applyFill="1" applyBorder="1" applyAlignment="1" applyProtection="1">
      <alignment horizontal="left" shrinkToFit="1"/>
      <protection locked="0"/>
    </xf>
    <xf numFmtId="0" fontId="26" fillId="0" borderId="10" xfId="2" applyBorder="1"/>
    <xf numFmtId="49" fontId="26" fillId="2" borderId="23" xfId="2" applyNumberFormat="1" applyFill="1" applyBorder="1" applyAlignment="1" applyProtection="1">
      <alignment horizontal="center"/>
      <protection locked="0"/>
    </xf>
    <xf numFmtId="1" fontId="0" fillId="4" borderId="13" xfId="0" applyNumberFormat="1" applyFill="1" applyBorder="1" applyAlignment="1" applyProtection="1">
      <alignment shrinkToFit="1"/>
      <protection locked="0"/>
    </xf>
    <xf numFmtId="0" fontId="26" fillId="6" borderId="13" xfId="0" applyFont="1" applyFill="1" applyBorder="1"/>
    <xf numFmtId="0" fontId="26" fillId="6" borderId="14" xfId="0" applyFont="1" applyFill="1" applyBorder="1"/>
    <xf numFmtId="0" fontId="26" fillId="6" borderId="25" xfId="0" applyFont="1" applyFill="1" applyBorder="1"/>
    <xf numFmtId="0" fontId="26" fillId="6" borderId="22" xfId="0" applyFont="1" applyFill="1" applyBorder="1"/>
    <xf numFmtId="0" fontId="26" fillId="6" borderId="10" xfId="0" applyFont="1" applyFill="1" applyBorder="1"/>
    <xf numFmtId="0" fontId="26" fillId="6" borderId="26" xfId="0" applyFont="1" applyFill="1" applyBorder="1"/>
    <xf numFmtId="49" fontId="26" fillId="2" borderId="14" xfId="0" applyNumberFormat="1" applyFont="1" applyFill="1" applyBorder="1" applyProtection="1">
      <protection locked="0"/>
    </xf>
    <xf numFmtId="49" fontId="26" fillId="2" borderId="15" xfId="0" applyNumberFormat="1" applyFont="1" applyFill="1" applyBorder="1" applyProtection="1">
      <protection locked="0"/>
    </xf>
    <xf numFmtId="0" fontId="26" fillId="4" borderId="13" xfId="0" quotePrefix="1" applyFont="1" applyFill="1" applyBorder="1" applyAlignment="1" applyProtection="1">
      <alignment horizontal="left" shrinkToFit="1"/>
      <protection locked="0"/>
    </xf>
    <xf numFmtId="3" fontId="26" fillId="4" borderId="13" xfId="0" quotePrefix="1" applyNumberFormat="1" applyFont="1" applyFill="1" applyBorder="1" applyAlignment="1" applyProtection="1">
      <alignment horizontal="left" shrinkToFit="1"/>
      <protection locked="0"/>
    </xf>
    <xf numFmtId="49" fontId="26" fillId="4" borderId="13" xfId="0" applyNumberFormat="1" applyFont="1" applyFill="1" applyBorder="1" applyAlignment="1" applyProtection="1">
      <alignment horizontal="left" shrinkToFit="1"/>
      <protection locked="0"/>
    </xf>
    <xf numFmtId="49" fontId="0" fillId="4" borderId="14" xfId="0" applyNumberFormat="1" applyFill="1" applyBorder="1" applyAlignment="1" applyProtection="1">
      <alignment horizontal="left" shrinkToFit="1"/>
      <protection locked="0"/>
    </xf>
    <xf numFmtId="49" fontId="0" fillId="4" borderId="15" xfId="0" applyNumberFormat="1" applyFill="1" applyBorder="1" applyAlignment="1" applyProtection="1">
      <alignment horizontal="left" shrinkToFit="1"/>
      <protection locked="0"/>
    </xf>
    <xf numFmtId="49" fontId="0" fillId="4" borderId="13" xfId="0" applyNumberFormat="1" applyFill="1" applyBorder="1" applyAlignment="1" applyProtection="1">
      <alignment wrapText="1" shrinkToFit="1"/>
      <protection locked="0"/>
    </xf>
    <xf numFmtId="49" fontId="0" fillId="5" borderId="13" xfId="0" applyNumberFormat="1" applyFill="1" applyBorder="1" applyProtection="1">
      <protection locked="0"/>
    </xf>
    <xf numFmtId="49" fontId="0" fillId="5" borderId="14" xfId="0" applyNumberFormat="1" applyFill="1" applyBorder="1" applyProtection="1">
      <protection locked="0"/>
    </xf>
    <xf numFmtId="49" fontId="0" fillId="5" borderId="15" xfId="0" applyNumberFormat="1" applyFill="1" applyBorder="1" applyProtection="1">
      <protection locked="0"/>
    </xf>
    <xf numFmtId="3" fontId="0" fillId="4" borderId="13" xfId="0" quotePrefix="1" applyNumberFormat="1" applyFill="1" applyBorder="1" applyAlignment="1" applyProtection="1">
      <alignment shrinkToFit="1"/>
      <protection locked="0"/>
    </xf>
    <xf numFmtId="49" fontId="26" fillId="0" borderId="14" xfId="0" applyNumberFormat="1" applyFont="1" applyBorder="1" applyAlignment="1" applyProtection="1">
      <alignment shrinkToFit="1"/>
      <protection locked="0"/>
    </xf>
    <xf numFmtId="49" fontId="26" fillId="0" borderId="15" xfId="0" applyNumberFormat="1" applyFont="1" applyBorder="1" applyAlignment="1" applyProtection="1">
      <alignment shrinkToFit="1"/>
      <protection locked="0"/>
    </xf>
    <xf numFmtId="0" fontId="26" fillId="0" borderId="14" xfId="0" applyFont="1" applyBorder="1" applyAlignment="1" applyProtection="1">
      <alignment shrinkToFit="1"/>
      <protection locked="0"/>
    </xf>
    <xf numFmtId="0" fontId="26" fillId="0" borderId="15" xfId="0" applyFont="1" applyBorder="1" applyAlignment="1" applyProtection="1">
      <alignment shrinkToFit="1"/>
      <protection locked="0"/>
    </xf>
    <xf numFmtId="49" fontId="26" fillId="5" borderId="22" xfId="0" applyNumberFormat="1" applyFont="1" applyFill="1" applyBorder="1" applyProtection="1">
      <protection locked="0"/>
    </xf>
    <xf numFmtId="49" fontId="26" fillId="5" borderId="10" xfId="0" applyNumberFormat="1" applyFont="1" applyFill="1" applyBorder="1" applyProtection="1">
      <protection locked="0"/>
    </xf>
    <xf numFmtId="49" fontId="26" fillId="5" borderId="15" xfId="0" applyNumberFormat="1" applyFont="1" applyFill="1" applyBorder="1" applyProtection="1">
      <protection locked="0"/>
    </xf>
    <xf numFmtId="49" fontId="26" fillId="5" borderId="13" xfId="0" applyNumberFormat="1" applyFont="1" applyFill="1" applyBorder="1" applyProtection="1">
      <protection locked="0"/>
    </xf>
    <xf numFmtId="49" fontId="26" fillId="5" borderId="14" xfId="0" applyNumberFormat="1" applyFont="1" applyFill="1" applyBorder="1" applyProtection="1">
      <protection locked="0"/>
    </xf>
    <xf numFmtId="3" fontId="26" fillId="4" borderId="13" xfId="0" quotePrefix="1" applyNumberFormat="1" applyFont="1" applyFill="1" applyBorder="1" applyAlignment="1" applyProtection="1">
      <alignment shrinkToFit="1"/>
      <protection locked="0"/>
    </xf>
    <xf numFmtId="49" fontId="32" fillId="2" borderId="22" xfId="0" applyNumberFormat="1" applyFont="1" applyFill="1" applyBorder="1" applyProtection="1">
      <protection locked="0"/>
    </xf>
    <xf numFmtId="49" fontId="32" fillId="2" borderId="10" xfId="0" applyNumberFormat="1" applyFont="1" applyFill="1" applyBorder="1" applyProtection="1">
      <protection locked="0"/>
    </xf>
    <xf numFmtId="3" fontId="26" fillId="4" borderId="13" xfId="0" applyNumberFormat="1" applyFont="1" applyFill="1" applyBorder="1" applyAlignment="1" applyProtection="1">
      <alignment horizontal="left" shrinkToFit="1"/>
      <protection locked="0"/>
    </xf>
    <xf numFmtId="3" fontId="26" fillId="0" borderId="14" xfId="0" applyNumberFormat="1" applyFont="1" applyBorder="1" applyAlignment="1" applyProtection="1">
      <alignment horizontal="left" shrinkToFit="1"/>
      <protection locked="0"/>
    </xf>
    <xf numFmtId="3" fontId="26" fillId="0" borderId="15" xfId="0" applyNumberFormat="1" applyFont="1" applyBorder="1" applyAlignment="1" applyProtection="1">
      <alignment horizontal="left" shrinkToFit="1"/>
      <protection locked="0"/>
    </xf>
    <xf numFmtId="49" fontId="29" fillId="5" borderId="13" xfId="0" applyNumberFormat="1" applyFont="1" applyFill="1" applyBorder="1" applyAlignment="1" applyProtection="1">
      <alignment horizontal="left"/>
      <protection locked="0"/>
    </xf>
    <xf numFmtId="49" fontId="29" fillId="5" borderId="14" xfId="0" applyNumberFormat="1" applyFont="1" applyFill="1" applyBorder="1" applyAlignment="1" applyProtection="1">
      <alignment horizontal="left"/>
      <protection locked="0"/>
    </xf>
    <xf numFmtId="49" fontId="29" fillId="5" borderId="15" xfId="0" applyNumberFormat="1" applyFont="1" applyFill="1" applyBorder="1" applyAlignment="1" applyProtection="1">
      <alignment horizontal="left"/>
      <protection locked="0"/>
    </xf>
    <xf numFmtId="49" fontId="76" fillId="5" borderId="13" xfId="0" applyNumberFormat="1" applyFont="1" applyFill="1" applyBorder="1" applyAlignment="1" applyProtection="1">
      <alignment horizontal="left"/>
      <protection locked="0"/>
    </xf>
    <xf numFmtId="49" fontId="76" fillId="5" borderId="14" xfId="0" applyNumberFormat="1" applyFont="1" applyFill="1" applyBorder="1" applyAlignment="1" applyProtection="1">
      <alignment horizontal="left"/>
      <protection locked="0"/>
    </xf>
    <xf numFmtId="49" fontId="76" fillId="5" borderId="15" xfId="0" applyNumberFormat="1" applyFont="1" applyFill="1" applyBorder="1" applyAlignment="1" applyProtection="1">
      <alignment horizontal="left"/>
      <protection locked="0"/>
    </xf>
    <xf numFmtId="49" fontId="26" fillId="2" borderId="13" xfId="0" applyNumberFormat="1" applyFont="1" applyFill="1" applyBorder="1" applyAlignment="1" applyProtection="1">
      <alignment horizontal="left"/>
      <protection locked="0"/>
    </xf>
    <xf numFmtId="49" fontId="26" fillId="2" borderId="14" xfId="0" applyNumberFormat="1" applyFont="1" applyFill="1" applyBorder="1" applyAlignment="1" applyProtection="1">
      <alignment horizontal="left"/>
      <protection locked="0"/>
    </xf>
    <xf numFmtId="49" fontId="26" fillId="2" borderId="15" xfId="0" applyNumberFormat="1" applyFont="1" applyFill="1" applyBorder="1" applyAlignment="1" applyProtection="1">
      <alignment horizontal="left"/>
      <protection locked="0"/>
    </xf>
    <xf numFmtId="49" fontId="26" fillId="5" borderId="13" xfId="0" applyNumberFormat="1" applyFont="1" applyFill="1" applyBorder="1" applyAlignment="1" applyProtection="1">
      <alignment horizontal="left"/>
      <protection locked="0"/>
    </xf>
    <xf numFmtId="49" fontId="26" fillId="5" borderId="14" xfId="0" applyNumberFormat="1" applyFont="1" applyFill="1" applyBorder="1" applyAlignment="1" applyProtection="1">
      <alignment horizontal="left"/>
      <protection locked="0"/>
    </xf>
    <xf numFmtId="49" fontId="26" fillId="5" borderId="15" xfId="0" applyNumberFormat="1" applyFont="1" applyFill="1" applyBorder="1" applyAlignment="1" applyProtection="1">
      <alignment horizontal="left"/>
      <protection locked="0"/>
    </xf>
    <xf numFmtId="49" fontId="69" fillId="5" borderId="13" xfId="0" applyNumberFormat="1" applyFont="1" applyFill="1" applyBorder="1" applyAlignment="1" applyProtection="1">
      <alignment horizontal="left"/>
      <protection locked="0"/>
    </xf>
    <xf numFmtId="49" fontId="69" fillId="5" borderId="14" xfId="0" applyNumberFormat="1" applyFont="1" applyFill="1" applyBorder="1" applyAlignment="1" applyProtection="1">
      <alignment horizontal="left"/>
      <protection locked="0"/>
    </xf>
    <xf numFmtId="49" fontId="69" fillId="5" borderId="15" xfId="0" applyNumberFormat="1" applyFon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49" fontId="0" fillId="2" borderId="14" xfId="0" applyNumberFormat="1" applyFill="1" applyBorder="1" applyAlignment="1" applyProtection="1">
      <alignment horizontal="left"/>
      <protection locked="0"/>
    </xf>
    <xf numFmtId="49" fontId="0" fillId="2" borderId="15" xfId="0" applyNumberFormat="1" applyFill="1" applyBorder="1" applyAlignment="1" applyProtection="1">
      <alignment horizontal="left"/>
      <protection locked="0"/>
    </xf>
    <xf numFmtId="49" fontId="26" fillId="0" borderId="14" xfId="2" applyNumberFormat="1" applyBorder="1" applyAlignment="1" applyProtection="1">
      <alignment horizontal="left" shrinkToFit="1"/>
      <protection locked="0"/>
    </xf>
    <xf numFmtId="49" fontId="26" fillId="0" borderId="15" xfId="2" applyNumberFormat="1" applyBorder="1" applyAlignment="1" applyProtection="1">
      <alignment horizontal="left" shrinkToFit="1"/>
      <protection locked="0"/>
    </xf>
    <xf numFmtId="1" fontId="26" fillId="4" borderId="13" xfId="2" quotePrefix="1" applyNumberFormat="1" applyFill="1" applyBorder="1" applyAlignment="1" applyProtection="1">
      <alignment horizontal="left" shrinkToFit="1"/>
      <protection locked="0"/>
    </xf>
    <xf numFmtId="0" fontId="26" fillId="0" borderId="14" xfId="2" applyBorder="1" applyAlignment="1" applyProtection="1">
      <alignment horizontal="left" shrinkToFit="1"/>
      <protection locked="0"/>
    </xf>
    <xf numFmtId="0" fontId="26" fillId="0" borderId="15" xfId="2" applyBorder="1" applyAlignment="1" applyProtection="1">
      <alignment horizontal="left" shrinkToFit="1"/>
      <protection locked="0"/>
    </xf>
    <xf numFmtId="3" fontId="26" fillId="0" borderId="14" xfId="2" applyNumberFormat="1" applyBorder="1" applyAlignment="1" applyProtection="1">
      <alignment horizontal="left" shrinkToFit="1"/>
      <protection locked="0"/>
    </xf>
    <xf numFmtId="3" fontId="26" fillId="0" borderId="15" xfId="2" applyNumberFormat="1" applyBorder="1" applyAlignment="1" applyProtection="1">
      <alignment horizontal="left" shrinkToFit="1"/>
      <protection locked="0"/>
    </xf>
  </cellXfs>
  <cellStyles count="190">
    <cellStyle name="Comma" xfId="18" builtinId="3"/>
    <cellStyle name="Comma 10" xfId="84" xr:uid="{00000000-0005-0000-0000-000001000000}"/>
    <cellStyle name="Comma 10 2" xfId="59" xr:uid="{00000000-0005-0000-0000-000002000000}"/>
    <cellStyle name="Comma 2" xfId="5" xr:uid="{00000000-0005-0000-0000-000003000000}"/>
    <cellStyle name="Comma 2 2" xfId="45" xr:uid="{00000000-0005-0000-0000-000004000000}"/>
    <cellStyle name="Comma 2 2 2" xfId="102" xr:uid="{00000000-0005-0000-0000-000005000000}"/>
    <cellStyle name="Comma 2 2 2 2" xfId="176" xr:uid="{3EF3C266-36ED-4840-8C1D-9EE714143B0E}"/>
    <cellStyle name="Comma 2 2 3" xfId="139" xr:uid="{D96154BD-6DE9-4A2C-8C38-41B5F91A7984}"/>
    <cellStyle name="Comma 2 3" xfId="50" xr:uid="{00000000-0005-0000-0000-000006000000}"/>
    <cellStyle name="Comma 2 3 2" xfId="107" xr:uid="{00000000-0005-0000-0000-000007000000}"/>
    <cellStyle name="Comma 2 3 2 2" xfId="181" xr:uid="{5423CE70-0278-416A-895F-6A209086B700}"/>
    <cellStyle name="Comma 2 3 3" xfId="144" xr:uid="{CF44B36F-FD40-4AED-BFF6-D863A7E25F13}"/>
    <cellStyle name="Comma 2 4" xfId="56" xr:uid="{00000000-0005-0000-0000-000008000000}"/>
    <cellStyle name="Comma 2 5" xfId="76" xr:uid="{00000000-0005-0000-0000-000009000000}"/>
    <cellStyle name="Comma 2 5 2" xfId="156" xr:uid="{A994380E-C19B-434E-95FA-2D61C5C62E03}"/>
    <cellStyle name="Comma 2 6" xfId="119" xr:uid="{57C9440A-D9C0-4C39-91B0-081FEDE91667}"/>
    <cellStyle name="Comma 3" xfId="14" xr:uid="{00000000-0005-0000-0000-00000A000000}"/>
    <cellStyle name="Comma 3 2" xfId="70" xr:uid="{00000000-0005-0000-0000-00000B000000}"/>
    <cellStyle name="Comma 4" xfId="25" xr:uid="{00000000-0005-0000-0000-00000C000000}"/>
    <cellStyle name="Comma 4 2" xfId="67" xr:uid="{00000000-0005-0000-0000-00000D000000}"/>
    <cellStyle name="Comma 4 3" xfId="88" xr:uid="{00000000-0005-0000-0000-00000E000000}"/>
    <cellStyle name="Comma 4 3 2" xfId="165" xr:uid="{E7BFBFA4-F469-4E6A-B57F-78440890E9FA}"/>
    <cellStyle name="Comma 4 4" xfId="128" xr:uid="{44905EC5-18FC-4E72-A934-1624DCFA261C}"/>
    <cellStyle name="Comma 5" xfId="35" xr:uid="{00000000-0005-0000-0000-00000F000000}"/>
    <cellStyle name="Comma 5 2" xfId="95" xr:uid="{00000000-0005-0000-0000-000010000000}"/>
    <cellStyle name="Comma 5 2 2" xfId="172" xr:uid="{BB88188B-1530-4E29-A7D2-37CDA26128DB}"/>
    <cellStyle name="Comma 5 3" xfId="135" xr:uid="{54F88C67-8F38-405E-856C-A24088D84A5C}"/>
    <cellStyle name="Comma 6" xfId="37" xr:uid="{00000000-0005-0000-0000-000011000000}"/>
    <cellStyle name="Comma 7" xfId="38" xr:uid="{00000000-0005-0000-0000-000012000000}"/>
    <cellStyle name="Comma 8" xfId="41" xr:uid="{00000000-0005-0000-0000-000013000000}"/>
    <cellStyle name="Comma 8 2" xfId="98" xr:uid="{00000000-0005-0000-0000-000014000000}"/>
    <cellStyle name="Comma 9" xfId="64" xr:uid="{00000000-0005-0000-0000-000015000000}"/>
    <cellStyle name="Comma 9 2" xfId="115" xr:uid="{00000000-0005-0000-0000-000016000000}"/>
    <cellStyle name="Comma 9 2 2" xfId="188" xr:uid="{5430E070-2626-4E6C-8232-748094E26E8F}"/>
    <cellStyle name="Comma 9 3" xfId="151" xr:uid="{2DB14FDF-394D-4193-BC9E-398CC7C12738}"/>
    <cellStyle name="Currency" xfId="19" builtinId="4"/>
    <cellStyle name="Currency 10 2" xfId="58" xr:uid="{00000000-0005-0000-0000-000018000000}"/>
    <cellStyle name="Currency 2" xfId="8" xr:uid="{00000000-0005-0000-0000-000019000000}"/>
    <cellStyle name="Currency 2 2" xfId="23" xr:uid="{00000000-0005-0000-0000-00001A000000}"/>
    <cellStyle name="Currency 2 2 2" xfId="87" xr:uid="{00000000-0005-0000-0000-00001B000000}"/>
    <cellStyle name="Currency 2 2 2 2" xfId="164" xr:uid="{5377AAFA-CC5F-4B29-A742-EE6F350156EA}"/>
    <cellStyle name="Currency 2 2 3" xfId="127" xr:uid="{0956E638-C2AF-44E7-BB40-49C0BA60B208}"/>
    <cellStyle name="Currency 2 3" xfId="44" xr:uid="{00000000-0005-0000-0000-00001C000000}"/>
    <cellStyle name="Currency 2 3 2" xfId="101" xr:uid="{00000000-0005-0000-0000-00001D000000}"/>
    <cellStyle name="Currency 2 3 2 2" xfId="175" xr:uid="{A1195D0C-DF6F-43D3-A9EF-14A2393F61BD}"/>
    <cellStyle name="Currency 2 3 3" xfId="138" xr:uid="{5AF4A82E-7859-4226-AF32-A2ADE1C08F8C}"/>
    <cellStyle name="Currency 2 4" xfId="51" xr:uid="{00000000-0005-0000-0000-00001E000000}"/>
    <cellStyle name="Currency 2 4 2" xfId="108" xr:uid="{00000000-0005-0000-0000-00001F000000}"/>
    <cellStyle name="Currency 2 4 2 2" xfId="182" xr:uid="{5E58085C-1F0B-44B3-9BA8-8D7C1C47704A}"/>
    <cellStyle name="Currency 2 4 3" xfId="145" xr:uid="{BE3816E1-EFB6-4A95-B454-9E8F67D33151}"/>
    <cellStyle name="Currency 2 5" xfId="55" xr:uid="{00000000-0005-0000-0000-000020000000}"/>
    <cellStyle name="Currency 2 6" xfId="78" xr:uid="{00000000-0005-0000-0000-000021000000}"/>
    <cellStyle name="Currency 2 6 2" xfId="158" xr:uid="{31CE41F7-0A12-4727-AE8C-242AE8C86F6D}"/>
    <cellStyle name="Currency 2 7" xfId="121" xr:uid="{F6C28CF0-CF60-4F55-8EBB-5BA28DF4AECD}"/>
    <cellStyle name="Currency 3" xfId="28" xr:uid="{00000000-0005-0000-0000-000022000000}"/>
    <cellStyle name="Currency 3 2" xfId="68" xr:uid="{00000000-0005-0000-0000-000023000000}"/>
    <cellStyle name="Currency 3 3" xfId="91" xr:uid="{00000000-0005-0000-0000-000024000000}"/>
    <cellStyle name="Currency 3 3 2" xfId="168" xr:uid="{AB2650A2-2281-4545-90C8-B3A53057F21B}"/>
    <cellStyle name="Currency 3 4" xfId="131" xr:uid="{960053FE-AB5A-4207-87D6-A7BDC4BD9DF3}"/>
    <cellStyle name="Currency 4" xfId="32" xr:uid="{00000000-0005-0000-0000-000025000000}"/>
    <cellStyle name="Currency 4 2" xfId="94" xr:uid="{00000000-0005-0000-0000-000026000000}"/>
    <cellStyle name="Currency 4 2 2" xfId="171" xr:uid="{ED41414D-2F6C-48AF-9696-83AB00239727}"/>
    <cellStyle name="Currency 4 3" xfId="134" xr:uid="{0240D923-53BD-4E3C-BB68-796488A39D54}"/>
    <cellStyle name="Currency 5" xfId="33" xr:uid="{00000000-0005-0000-0000-000027000000}"/>
    <cellStyle name="Currency 6" xfId="39" xr:uid="{00000000-0005-0000-0000-000028000000}"/>
    <cellStyle name="Currency 6 2" xfId="96" xr:uid="{00000000-0005-0000-0000-000029000000}"/>
    <cellStyle name="Currency 7" xfId="49" xr:uid="{00000000-0005-0000-0000-00002A000000}"/>
    <cellStyle name="Currency 7 2" xfId="106" xr:uid="{00000000-0005-0000-0000-00002B000000}"/>
    <cellStyle name="Currency 7 2 2" xfId="180" xr:uid="{18256BAF-2621-4D93-A355-67B44773D078}"/>
    <cellStyle name="Currency 7 3" xfId="143" xr:uid="{A59B7E01-B387-4ED3-896D-34DD8D6A407B}"/>
    <cellStyle name="Currency 8" xfId="65" xr:uid="{00000000-0005-0000-0000-00002C000000}"/>
    <cellStyle name="Currency 8 2" xfId="116" xr:uid="{00000000-0005-0000-0000-00002D000000}"/>
    <cellStyle name="Currency 8 2 2" xfId="189" xr:uid="{17424873-A1F7-4446-9E32-3BA2A6CC3B26}"/>
    <cellStyle name="Currency 8 3" xfId="152" xr:uid="{61EA3613-B8A2-4EED-984B-FB079FD3EDF2}"/>
    <cellStyle name="Currency 9" xfId="85" xr:uid="{00000000-0005-0000-0000-00002E000000}"/>
    <cellStyle name="Hyperlink" xfId="117" builtinId="8"/>
    <cellStyle name="Hyperlink 2" xfId="16" xr:uid="{00000000-0005-0000-0000-000030000000}"/>
    <cellStyle name="Hyperlink 3" xfId="21" xr:uid="{00000000-0005-0000-0000-000031000000}"/>
    <cellStyle name="Hyperlink 4" xfId="34" xr:uid="{00000000-0005-0000-0000-000032000000}"/>
    <cellStyle name="Hyperlink 5" xfId="54" xr:uid="{00000000-0005-0000-0000-000033000000}"/>
    <cellStyle name="Normal" xfId="0" builtinId="0"/>
    <cellStyle name="Normal 10" xfId="27" xr:uid="{00000000-0005-0000-0000-000035000000}"/>
    <cellStyle name="Normal 10 2" xfId="90" xr:uid="{00000000-0005-0000-0000-000036000000}"/>
    <cellStyle name="Normal 10 2 2" xfId="167" xr:uid="{8752E4BF-DA60-4468-8C2E-0D04D80F04A2}"/>
    <cellStyle name="Normal 10 3" xfId="130" xr:uid="{8FB148C5-8560-426B-BB90-613E23DCCBBD}"/>
    <cellStyle name="Normal 11" xfId="30" xr:uid="{00000000-0005-0000-0000-000037000000}"/>
    <cellStyle name="Normal 11 2" xfId="92" xr:uid="{00000000-0005-0000-0000-000038000000}"/>
    <cellStyle name="Normal 11 2 2" xfId="169" xr:uid="{997611DF-55CF-4AF1-A99C-C1BD3420D7A8}"/>
    <cellStyle name="Normal 11 3" xfId="132" xr:uid="{C4731381-62A5-404F-A571-8590CE99E525}"/>
    <cellStyle name="Normal 12" xfId="36" xr:uid="{00000000-0005-0000-0000-000039000000}"/>
    <cellStyle name="Normal 13" xfId="46" xr:uid="{00000000-0005-0000-0000-00003A000000}"/>
    <cellStyle name="Normal 13 2" xfId="103" xr:uid="{00000000-0005-0000-0000-00003B000000}"/>
    <cellStyle name="Normal 13 2 2" xfId="177" xr:uid="{9480CE9C-DB83-4C23-9784-B1D3ED474EC8}"/>
    <cellStyle name="Normal 13 3" xfId="140" xr:uid="{AE991F22-1631-4006-B854-35F9E6BC9B2B}"/>
    <cellStyle name="Normal 14" xfId="48" xr:uid="{00000000-0005-0000-0000-00003C000000}"/>
    <cellStyle name="Normal 14 2" xfId="105" xr:uid="{00000000-0005-0000-0000-00003D000000}"/>
    <cellStyle name="Normal 14 2 2" xfId="179" xr:uid="{6933992D-6B25-43E5-9600-A17A273820FF}"/>
    <cellStyle name="Normal 14 3" xfId="142" xr:uid="{BD803799-F7B4-4FE9-B3B0-0F531A025940}"/>
    <cellStyle name="Normal 15" xfId="57" xr:uid="{00000000-0005-0000-0000-00003E000000}"/>
    <cellStyle name="Normal 15 2" xfId="111" xr:uid="{00000000-0005-0000-0000-00003F000000}"/>
    <cellStyle name="Normal 16" xfId="62" xr:uid="{00000000-0005-0000-0000-000040000000}"/>
    <cellStyle name="Normal 16 2" xfId="113" xr:uid="{00000000-0005-0000-0000-000041000000}"/>
    <cellStyle name="Normal 16 2 2" xfId="186" xr:uid="{AD8C064A-9023-4398-B5CC-2A475C7983E9}"/>
    <cellStyle name="Normal 16 3" xfId="149" xr:uid="{2E1150A6-384B-47F5-96EF-7CCC9F1A5F8B}"/>
    <cellStyle name="Normal 17" xfId="71" xr:uid="{00000000-0005-0000-0000-000042000000}"/>
    <cellStyle name="Normal 18" xfId="73" xr:uid="{00000000-0005-0000-0000-000043000000}"/>
    <cellStyle name="Normal 18 2" xfId="154" xr:uid="{5C1258C8-9813-4A92-8D65-A19297A924BE}"/>
    <cellStyle name="Normal 19" xfId="72" xr:uid="{00000000-0005-0000-0000-000044000000}"/>
    <cellStyle name="Normal 19 2" xfId="153" xr:uid="{1BBCFDC2-FB18-4F0F-BEBD-639AA198CA67}"/>
    <cellStyle name="Normal 2" xfId="2" xr:uid="{00000000-0005-0000-0000-000045000000}"/>
    <cellStyle name="Normal 2 2" xfId="52" xr:uid="{00000000-0005-0000-0000-000046000000}"/>
    <cellStyle name="Normal 2 2 2" xfId="109" xr:uid="{00000000-0005-0000-0000-000047000000}"/>
    <cellStyle name="Normal 2 2 2 2" xfId="183" xr:uid="{95D7FF4D-364A-440D-912A-9592529F1DA7}"/>
    <cellStyle name="Normal 2 2 3" xfId="146" xr:uid="{2EEF2A40-1F0E-4900-B773-9CA3A8748BB9}"/>
    <cellStyle name="Normal 2 3" xfId="66" xr:uid="{00000000-0005-0000-0000-000048000000}"/>
    <cellStyle name="Normal 3" xfId="3" xr:uid="{00000000-0005-0000-0000-000049000000}"/>
    <cellStyle name="Normal 3 2" xfId="7" xr:uid="{00000000-0005-0000-0000-00004A000000}"/>
    <cellStyle name="Normal 3 3" xfId="10" xr:uid="{00000000-0005-0000-0000-00004B000000}"/>
    <cellStyle name="Normal 3 3 2" xfId="80" xr:uid="{00000000-0005-0000-0000-00004C000000}"/>
    <cellStyle name="Normal 3 3 2 2" xfId="160" xr:uid="{3C27A144-2227-4FA7-9D0E-975BF2A8386D}"/>
    <cellStyle name="Normal 3 3 3" xfId="123" xr:uid="{99EC4DE9-2B21-42C9-9314-9D62F037F7DD}"/>
    <cellStyle name="Normal 3 4" xfId="29" xr:uid="{00000000-0005-0000-0000-00004D000000}"/>
    <cellStyle name="Normal 3 5" xfId="42" xr:uid="{00000000-0005-0000-0000-00004E000000}"/>
    <cellStyle name="Normal 3 5 2" xfId="99" xr:uid="{00000000-0005-0000-0000-00004F000000}"/>
    <cellStyle name="Normal 3 5 2 2" xfId="173" xr:uid="{5CB613F0-3D11-4266-84FA-A7A76B8012E1}"/>
    <cellStyle name="Normal 3 5 3" xfId="136" xr:uid="{55754ECB-8389-4BFF-855B-FE8BB05F6458}"/>
    <cellStyle name="Normal 3 6" xfId="75" xr:uid="{00000000-0005-0000-0000-000050000000}"/>
    <cellStyle name="Normal 3 6 2" xfId="155" xr:uid="{442E2554-7C7C-4696-8908-F5B540C10032}"/>
    <cellStyle name="Normal 3 7" xfId="118" xr:uid="{CC095983-808E-4862-BD30-0F8CEC61155D}"/>
    <cellStyle name="Normal 4" xfId="4" xr:uid="{00000000-0005-0000-0000-000051000000}"/>
    <cellStyle name="Normal 5" xfId="9" xr:uid="{00000000-0005-0000-0000-000052000000}"/>
    <cellStyle name="Normal 5 2" xfId="79" xr:uid="{00000000-0005-0000-0000-000053000000}"/>
    <cellStyle name="Normal 5 2 2" xfId="159" xr:uid="{63FDAE7E-8CCD-47AA-BFEC-4EE80589D44F}"/>
    <cellStyle name="Normal 5 3" xfId="122" xr:uid="{7EC15876-87D0-42FE-A0EE-A5280B110A58}"/>
    <cellStyle name="Normal 6" xfId="12" xr:uid="{00000000-0005-0000-0000-000054000000}"/>
    <cellStyle name="Normal 6 2" xfId="22" xr:uid="{00000000-0005-0000-0000-000055000000}"/>
    <cellStyle name="Normal 6 3" xfId="81" xr:uid="{00000000-0005-0000-0000-000056000000}"/>
    <cellStyle name="Normal 6 3 2" xfId="161" xr:uid="{63482FD5-8CAF-4F8C-9BB1-D060E6DD1492}"/>
    <cellStyle name="Normal 6 4" xfId="124" xr:uid="{C894EDE7-E297-4B48-A6FC-D5F37BAC0FC1}"/>
    <cellStyle name="Normal 7" xfId="13" xr:uid="{00000000-0005-0000-0000-000057000000}"/>
    <cellStyle name="Normal 7 2" xfId="82" xr:uid="{00000000-0005-0000-0000-000058000000}"/>
    <cellStyle name="Normal 8" xfId="17" xr:uid="{00000000-0005-0000-0000-000059000000}"/>
    <cellStyle name="Normal 8 2" xfId="83" xr:uid="{00000000-0005-0000-0000-00005A000000}"/>
    <cellStyle name="Normal 8 2 2" xfId="162" xr:uid="{54BDF7A1-1017-4322-973F-3DC19AF25DFF}"/>
    <cellStyle name="Normal 8 3" xfId="125" xr:uid="{9F6B4C12-3F1B-4BA9-A373-9716D299776B}"/>
    <cellStyle name="Normal 9" xfId="20" xr:uid="{00000000-0005-0000-0000-00005B000000}"/>
    <cellStyle name="Normal 9 2" xfId="86" xr:uid="{00000000-0005-0000-0000-00005C000000}"/>
    <cellStyle name="Normal 9 2 2" xfId="163" xr:uid="{0CBF12AA-1AF6-407D-AE1F-8442C71C297A}"/>
    <cellStyle name="Normal 9 3" xfId="126" xr:uid="{4FA6AE60-6A80-4E3C-969E-241FC66A1FDE}"/>
    <cellStyle name="Percent" xfId="1" builtinId="5"/>
    <cellStyle name="Percent 10" xfId="24" xr:uid="{00000000-0005-0000-0000-00005E000000}"/>
    <cellStyle name="Percent 10 2 2" xfId="60" xr:uid="{00000000-0005-0000-0000-00005F000000}"/>
    <cellStyle name="Percent 11" xfId="74" xr:uid="{00000000-0005-0000-0000-000060000000}"/>
    <cellStyle name="Percent 2" xfId="6" xr:uid="{00000000-0005-0000-0000-000061000000}"/>
    <cellStyle name="Percent 2 2" xfId="15" xr:uid="{00000000-0005-0000-0000-000062000000}"/>
    <cellStyle name="Percent 2 3" xfId="43" xr:uid="{00000000-0005-0000-0000-000063000000}"/>
    <cellStyle name="Percent 2 3 2" xfId="100" xr:uid="{00000000-0005-0000-0000-000064000000}"/>
    <cellStyle name="Percent 2 3 2 2" xfId="174" xr:uid="{4452299E-2349-4115-A679-730338922AFC}"/>
    <cellStyle name="Percent 2 3 3" xfId="137" xr:uid="{F524A139-864F-432C-A161-69F7624F932E}"/>
    <cellStyle name="Percent 2 4" xfId="61" xr:uid="{00000000-0005-0000-0000-000065000000}"/>
    <cellStyle name="Percent 2 4 2" xfId="112" xr:uid="{00000000-0005-0000-0000-000066000000}"/>
    <cellStyle name="Percent 2 4 2 2" xfId="185" xr:uid="{7D9C4090-8D24-4679-93DB-5EBB21B94BBA}"/>
    <cellStyle name="Percent 2 4 3" xfId="148" xr:uid="{71D7A6D8-00A2-4774-9455-3E8D8BE5DA82}"/>
    <cellStyle name="Percent 2 5" xfId="77" xr:uid="{00000000-0005-0000-0000-000067000000}"/>
    <cellStyle name="Percent 2 5 2" xfId="157" xr:uid="{75E65C37-9272-4FCB-ADB1-D75C83B3CD67}"/>
    <cellStyle name="Percent 2 6" xfId="120" xr:uid="{46C9AF10-1AC0-45E0-8180-551D47D7EA1B}"/>
    <cellStyle name="Percent 3" xfId="11" xr:uid="{00000000-0005-0000-0000-000068000000}"/>
    <cellStyle name="Percent 3 2" xfId="69" xr:uid="{00000000-0005-0000-0000-000069000000}"/>
    <cellStyle name="Percent 4" xfId="26" xr:uid="{00000000-0005-0000-0000-00006A000000}"/>
    <cellStyle name="Percent 4 2" xfId="89" xr:uid="{00000000-0005-0000-0000-00006B000000}"/>
    <cellStyle name="Percent 4 2 2" xfId="166" xr:uid="{C206353D-48FF-4546-8FBF-47FEE338D2C8}"/>
    <cellStyle name="Percent 4 3" xfId="129" xr:uid="{F385E2ED-585A-4F3B-BCAD-69FADE308D35}"/>
    <cellStyle name="Percent 5" xfId="31" xr:uid="{00000000-0005-0000-0000-00006C000000}"/>
    <cellStyle name="Percent 5 2" xfId="93" xr:uid="{00000000-0005-0000-0000-00006D000000}"/>
    <cellStyle name="Percent 5 2 2" xfId="170" xr:uid="{F82DCBEF-BE3B-4881-BDFE-9E9CF86A83B3}"/>
    <cellStyle name="Percent 5 3" xfId="133" xr:uid="{5372B316-67BB-4074-9324-A0CAA0A6DE7D}"/>
    <cellStyle name="Percent 6" xfId="40" xr:uid="{00000000-0005-0000-0000-00006E000000}"/>
    <cellStyle name="Percent 6 2" xfId="97" xr:uid="{00000000-0005-0000-0000-00006F000000}"/>
    <cellStyle name="Percent 7" xfId="47" xr:uid="{00000000-0005-0000-0000-000070000000}"/>
    <cellStyle name="Percent 7 2" xfId="104" xr:uid="{00000000-0005-0000-0000-000071000000}"/>
    <cellStyle name="Percent 7 2 2" xfId="178" xr:uid="{50727AA4-ACE9-4341-BD9A-4B9EFD659615}"/>
    <cellStyle name="Percent 7 3" xfId="141" xr:uid="{369778C0-4A4C-42F9-A1CC-8523BCDE79DF}"/>
    <cellStyle name="Percent 8" xfId="53" xr:uid="{00000000-0005-0000-0000-000072000000}"/>
    <cellStyle name="Percent 8 2" xfId="110" xr:uid="{00000000-0005-0000-0000-000073000000}"/>
    <cellStyle name="Percent 8 2 2" xfId="184" xr:uid="{49376D13-43D3-4375-A61C-FD745D9C3440}"/>
    <cellStyle name="Percent 8 3" xfId="147" xr:uid="{59BBDDD2-538A-457D-A1DD-E5A7F474FC57}"/>
    <cellStyle name="Percent 9" xfId="63" xr:uid="{00000000-0005-0000-0000-000074000000}"/>
    <cellStyle name="Percent 9 2" xfId="114" xr:uid="{00000000-0005-0000-0000-000075000000}"/>
    <cellStyle name="Percent 9 2 2" xfId="187" xr:uid="{8B24233A-35D7-4268-99BE-1CBE18C4A021}"/>
    <cellStyle name="Percent 9 3" xfId="150" xr:uid="{DADC0D68-EC68-47B5-A704-20A6E4B2BC55}"/>
  </cellStyles>
  <dxfs count="0"/>
  <tableStyles count="0" defaultTableStyle="TableStyleMedium9" defaultPivotStyle="PivotStyleLight16"/>
  <colors>
    <mruColors>
      <color rgb="FFB8CCE4"/>
      <color rgb="FFB8E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6.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7.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5.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FY2011 - FY2020 Rate Support for Charity Care</a:t>
            </a:r>
          </a:p>
          <a:p>
            <a:pPr>
              <a:defRPr/>
            </a:pPr>
            <a:r>
              <a:rPr lang="en-US" sz="1200" baseline="0"/>
              <a:t>(in millions)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799531801311"/>
          <c:y val="0.22101851851851817"/>
          <c:w val="0.87140846625634893"/>
          <c:h val="0.5471602508019825"/>
        </c:manualLayout>
      </c:layout>
      <c:lineChart>
        <c:grouping val="standard"/>
        <c:varyColors val="0"/>
        <c:ser>
          <c:idx val="1"/>
          <c:order val="0"/>
          <c:tx>
            <c:v>Charity Care</c:v>
          </c:tx>
          <c:spPr>
            <a:ln w="28575" cap="rnd">
              <a:solidFill>
                <a:schemeClr val="accent1"/>
              </a:solidFill>
              <a:round/>
            </a:ln>
            <a:effectLst/>
          </c:spPr>
          <c:marker>
            <c:symbol val="none"/>
          </c:marker>
          <c:cat>
            <c:numRef>
              <c:f>Figures!$A$22:$A$31</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Figures!$B$22:$B$31</c:f>
              <c:numCache>
                <c:formatCode>"$"#,##0_);[Red]\("$"#,##0\)</c:formatCode>
                <c:ptCount val="10"/>
                <c:pt idx="0">
                  <c:v>374.89863100000002</c:v>
                </c:pt>
                <c:pt idx="1">
                  <c:v>442.00888400000002</c:v>
                </c:pt>
                <c:pt idx="2">
                  <c:v>462.590418</c:v>
                </c:pt>
                <c:pt idx="3">
                  <c:v>463.908838</c:v>
                </c:pt>
                <c:pt idx="4">
                  <c:v>428.14220477171256</c:v>
                </c:pt>
                <c:pt idx="5">
                  <c:v>343.87975935278638</c:v>
                </c:pt>
                <c:pt idx="6">
                  <c:v>307.57909999999998</c:v>
                </c:pt>
                <c:pt idx="7">
                  <c:v>301.54137674841866</c:v>
                </c:pt>
                <c:pt idx="8">
                  <c:v>280.32054054977982</c:v>
                </c:pt>
                <c:pt idx="9">
                  <c:v>332.22753366999643</c:v>
                </c:pt>
              </c:numCache>
            </c:numRef>
          </c:val>
          <c:smooth val="0"/>
          <c:extLst>
            <c:ext xmlns:c16="http://schemas.microsoft.com/office/drawing/2014/chart" uri="{C3380CC4-5D6E-409C-BE32-E72D297353CC}">
              <c16:uniqueId val="{00000000-C9EE-4CD1-A33C-E661AC477458}"/>
            </c:ext>
          </c:extLst>
        </c:ser>
        <c:dLbls>
          <c:showLegendKey val="0"/>
          <c:showVal val="0"/>
          <c:showCatName val="0"/>
          <c:showSerName val="0"/>
          <c:showPercent val="0"/>
          <c:showBubbleSize val="0"/>
        </c:dLbls>
        <c:smooth val="0"/>
        <c:axId val="114790784"/>
        <c:axId val="114792320"/>
      </c:lineChart>
      <c:catAx>
        <c:axId val="11479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2320"/>
        <c:crosses val="autoZero"/>
        <c:auto val="1"/>
        <c:lblAlgn val="ctr"/>
        <c:lblOffset val="100"/>
        <c:noMultiLvlLbl val="0"/>
      </c:catAx>
      <c:valAx>
        <c:axId val="114792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0784"/>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r>
              <a:rPr lang="en-US"/>
              <a:t>FY2011-FY2020</a:t>
            </a:r>
            <a:r>
              <a:rPr lang="en-US" baseline="0"/>
              <a:t> Community Benefit Expense</a:t>
            </a:r>
          </a:p>
          <a:p>
            <a:pPr algn="ctr">
              <a:defRPr/>
            </a:pPr>
            <a:r>
              <a:rPr lang="en-US" sz="1100" baseline="0"/>
              <a:t>(in millions)</a:t>
            </a:r>
            <a:endParaRPr lang="en-US" sz="1100"/>
          </a:p>
        </c:rich>
      </c:tx>
      <c:layout>
        <c:manualLayout>
          <c:xMode val="edge"/>
          <c:yMode val="edge"/>
          <c:x val="0.22909102641278678"/>
          <c:y val="4.2424252546946442E-2"/>
        </c:manualLayout>
      </c:layout>
      <c:overlay val="0"/>
      <c:spPr>
        <a:noFill/>
        <a:ln>
          <a:noFill/>
        </a:ln>
        <a:effectLst/>
      </c:spPr>
      <c:txPr>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Figures!$B$44</c:f>
              <c:strCache>
                <c:ptCount val="1"/>
                <c:pt idx="0">
                  <c:v>CB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Figures!$A$45:$A$54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Figures!$B$45:$B$54</c:f>
              <c:numCache>
                <c:formatCode>"$"#,##0_);[Red]\("$"#,##0\)</c:formatCode>
                <c:ptCount val="10"/>
                <c:pt idx="0">
                  <c:v>1203.0176928095927</c:v>
                </c:pt>
                <c:pt idx="1">
                  <c:v>1378.3019303951344</c:v>
                </c:pt>
                <c:pt idx="2">
                  <c:v>1505.554321846221</c:v>
                </c:pt>
                <c:pt idx="3">
                  <c:v>1498.125311</c:v>
                </c:pt>
                <c:pt idx="4">
                  <c:v>1477.3026560000001</c:v>
                </c:pt>
                <c:pt idx="5">
                  <c:v>1523.6728668289177</c:v>
                </c:pt>
                <c:pt idx="6">
                  <c:v>1562.5152129999999</c:v>
                </c:pt>
                <c:pt idx="7">
                  <c:v>1748.4416889699364</c:v>
                </c:pt>
                <c:pt idx="8">
                  <c:v>1885.9526062099812</c:v>
                </c:pt>
                <c:pt idx="9">
                  <c:v>1942.5955654023769</c:v>
                </c:pt>
              </c:numCache>
            </c:numRef>
          </c:val>
          <c:extLst>
            <c:ext xmlns:c16="http://schemas.microsoft.com/office/drawing/2014/chart" uri="{C3380CC4-5D6E-409C-BE32-E72D297353CC}">
              <c16:uniqueId val="{00000000-F6C5-4B70-9AED-B54BFF492E8C}"/>
            </c:ext>
          </c:extLst>
        </c:ser>
        <c:ser>
          <c:idx val="1"/>
          <c:order val="1"/>
          <c:tx>
            <c:strRef>
              <c:f>Figures!$C$44</c:f>
              <c:strCache>
                <c:ptCount val="1"/>
                <c:pt idx="0">
                  <c:v>CB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Figures!$A$45:$A$54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Figures!$C$45:$C$54</c:f>
              <c:numCache>
                <c:formatCode>"$"#,##0_);[Red]\("$"#,##0\)</c:formatCode>
                <c:ptCount val="10"/>
                <c:pt idx="0">
                  <c:v>580.41547980959274</c:v>
                </c:pt>
                <c:pt idx="1">
                  <c:v>651.68681639513431</c:v>
                </c:pt>
                <c:pt idx="2">
                  <c:v>713.44631884622095</c:v>
                </c:pt>
                <c:pt idx="3">
                  <c:v>724.6684919999999</c:v>
                </c:pt>
                <c:pt idx="4">
                  <c:v>731.20237529969745</c:v>
                </c:pt>
                <c:pt idx="5">
                  <c:v>827.66715307936329</c:v>
                </c:pt>
                <c:pt idx="6">
                  <c:v>895.94846399999994</c:v>
                </c:pt>
                <c:pt idx="7">
                  <c:v>1086.1815225812397</c:v>
                </c:pt>
                <c:pt idx="8">
                  <c:v>1236.0251120028438</c:v>
                </c:pt>
                <c:pt idx="9">
                  <c:v>1236.8535759472793</c:v>
                </c:pt>
              </c:numCache>
            </c:numRef>
          </c:val>
          <c:extLst>
            <c:ext xmlns:c16="http://schemas.microsoft.com/office/drawing/2014/chart" uri="{C3380CC4-5D6E-409C-BE32-E72D297353CC}">
              <c16:uniqueId val="{00000001-F6C5-4B70-9AED-B54BFF492E8C}"/>
            </c:ext>
          </c:extLst>
        </c:ser>
        <c:dLbls>
          <c:showLegendKey val="0"/>
          <c:showVal val="0"/>
          <c:showCatName val="0"/>
          <c:showSerName val="0"/>
          <c:showPercent val="0"/>
          <c:showBubbleSize val="0"/>
        </c:dLbls>
        <c:gapWidth val="219"/>
        <c:overlap val="-27"/>
        <c:axId val="115223936"/>
        <c:axId val="115225728"/>
      </c:barChart>
      <c:catAx>
        <c:axId val="11522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25728"/>
        <c:crosses val="autoZero"/>
        <c:auto val="1"/>
        <c:lblAlgn val="ctr"/>
        <c:lblOffset val="100"/>
        <c:noMultiLvlLbl val="0"/>
      </c:catAx>
      <c:valAx>
        <c:axId val="115225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23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FY2011-FY2020    </a:t>
            </a:r>
          </a:p>
          <a:p>
            <a:pPr algn="ctr" rtl="0">
              <a:defRPr lang="en-US">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latin typeface="+mn-lt"/>
                <a:ea typeface="+mn-ea"/>
                <a:cs typeface="+mn-cs"/>
              </a:rPr>
              <a:t> % of Operating Expense</a:t>
            </a:r>
          </a:p>
        </c:rich>
      </c:tx>
      <c:layout>
        <c:manualLayout>
          <c:xMode val="edge"/>
          <c:yMode val="edge"/>
          <c:x val="0.34680060393694734"/>
          <c:y val="3.8639252563907864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Figures!$B$68</c:f>
              <c:strCache>
                <c:ptCount val="1"/>
                <c:pt idx="0">
                  <c:v>% of Operating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Figures!$A$69:$A$78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Figures!$B$69:$B$78</c:f>
              <c:numCache>
                <c:formatCode>0.0%</c:formatCode>
                <c:ptCount val="10"/>
                <c:pt idx="0">
                  <c:v>9.2258868211991238E-2</c:v>
                </c:pt>
                <c:pt idx="1">
                  <c:v>0.10185384603002651</c:v>
                </c:pt>
                <c:pt idx="2">
                  <c:v>0.1104988049791147</c:v>
                </c:pt>
                <c:pt idx="3">
                  <c:v>0.10620841479725308</c:v>
                </c:pt>
                <c:pt idx="4">
                  <c:v>0.10054156065587122</c:v>
                </c:pt>
                <c:pt idx="5">
                  <c:v>9.3308531422878357E-2</c:v>
                </c:pt>
                <c:pt idx="6">
                  <c:v>9.8678472055513361E-2</c:v>
                </c:pt>
                <c:pt idx="7">
                  <c:v>0.1083059645415272</c:v>
                </c:pt>
                <c:pt idx="8">
                  <c:v>0.11240129144569644</c:v>
                </c:pt>
                <c:pt idx="9">
                  <c:v>0.11328343960549368</c:v>
                </c:pt>
              </c:numCache>
            </c:numRef>
          </c:val>
          <c:extLst>
            <c:ext xmlns:c16="http://schemas.microsoft.com/office/drawing/2014/chart" uri="{C3380CC4-5D6E-409C-BE32-E72D297353CC}">
              <c16:uniqueId val="{00000000-1C9D-4806-B6E4-77F6A94A2B72}"/>
            </c:ext>
          </c:extLst>
        </c:ser>
        <c:ser>
          <c:idx val="1"/>
          <c:order val="1"/>
          <c:tx>
            <c:strRef>
              <c:f>Figures!$C$68</c:f>
              <c:strCache>
                <c:ptCount val="1"/>
                <c:pt idx="0">
                  <c:v>% of Operating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Figures!$A$69:$A$78</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Figures!$C$69:$C$78</c:f>
              <c:numCache>
                <c:formatCode>0.0%</c:formatCode>
                <c:ptCount val="10"/>
                <c:pt idx="0">
                  <c:v>4.4511793617010624E-2</c:v>
                </c:pt>
                <c:pt idx="1">
                  <c:v>4.8158394901093353E-2</c:v>
                </c:pt>
                <c:pt idx="2">
                  <c:v>5.2362750719338144E-2</c:v>
                </c:pt>
                <c:pt idx="3">
                  <c:v>5.1374802377152994E-2</c:v>
                </c:pt>
                <c:pt idx="4">
                  <c:v>4.9763823052323575E-2</c:v>
                </c:pt>
                <c:pt idx="5">
                  <c:v>5.0685687355920786E-2</c:v>
                </c:pt>
                <c:pt idx="6">
                  <c:v>5.6582377395389953E-2</c:v>
                </c:pt>
                <c:pt idx="7">
                  <c:v>6.7282734226985441E-2</c:v>
                </c:pt>
                <c:pt idx="8">
                  <c:v>7.3666124159730187E-2</c:v>
                </c:pt>
                <c:pt idx="9">
                  <c:v>7.2127739745272174E-2</c:v>
                </c:pt>
              </c:numCache>
            </c:numRef>
          </c:val>
          <c:extLst>
            <c:ext xmlns:c16="http://schemas.microsoft.com/office/drawing/2014/chart" uri="{C3380CC4-5D6E-409C-BE32-E72D297353CC}">
              <c16:uniqueId val="{00000001-1C9D-4806-B6E4-77F6A94A2B72}"/>
            </c:ext>
          </c:extLst>
        </c:ser>
        <c:dLbls>
          <c:showLegendKey val="0"/>
          <c:showVal val="1"/>
          <c:showCatName val="0"/>
          <c:showSerName val="0"/>
          <c:showPercent val="0"/>
          <c:showBubbleSize val="0"/>
        </c:dLbls>
        <c:gapWidth val="219"/>
        <c:overlap val="-27"/>
        <c:axId val="115271936"/>
        <c:axId val="115679232"/>
      </c:barChart>
      <c:catAx>
        <c:axId val="11527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679232"/>
        <c:crosses val="autoZero"/>
        <c:auto val="1"/>
        <c:lblAlgn val="ctr"/>
        <c:lblOffset val="100"/>
        <c:noMultiLvlLbl val="0"/>
      </c:catAx>
      <c:valAx>
        <c:axId val="115679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71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Community</a:t>
            </a:r>
            <a:r>
              <a:rPr lang="en-US" baseline="0"/>
              <a:t> Benefit</a:t>
            </a:r>
            <a:r>
              <a:rPr lang="en-US"/>
              <a:t> Expenditures With and Without Rate Support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642923204464371E-2"/>
          <c:y val="0.19968425809503534"/>
          <c:w val="0.90858596445359274"/>
          <c:h val="0.36858281992287234"/>
        </c:manualLayout>
      </c:layout>
      <c:barChart>
        <c:barDir val="col"/>
        <c:grouping val="clustered"/>
        <c:varyColors val="0"/>
        <c:ser>
          <c:idx val="0"/>
          <c:order val="0"/>
          <c:tx>
            <c:strRef>
              <c:f>Figures!$B$2</c:f>
              <c:strCache>
                <c:ptCount val="1"/>
                <c:pt idx="0">
                  <c:v>Percent of Total CB Expenditures</c:v>
                </c:pt>
              </c:strCache>
            </c:strRef>
          </c:tx>
          <c:spPr>
            <a:solidFill>
              <a:schemeClr val="accent1"/>
            </a:solidFill>
            <a:ln>
              <a:noFill/>
            </a:ln>
            <a:effectLst/>
          </c:spPr>
          <c:invertIfNegative val="0"/>
          <c:dLbls>
            <c:dLbl>
              <c:idx val="1"/>
              <c:layout>
                <c:manualLayout>
                  <c:x val="-6.78227327381140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4-4DAF-8611-FA1E1772FAEB}"/>
                </c:ext>
              </c:extLst>
            </c:dLbl>
            <c:dLbl>
              <c:idx val="2"/>
              <c:layout>
                <c:manualLayout>
                  <c:x val="5.0867049553584304E-3"/>
                  <c:y val="-1.0954643248457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4-4DAF-8611-FA1E1772FAEB}"/>
                </c:ext>
              </c:extLst>
            </c:dLbl>
            <c:dLbl>
              <c:idx val="4"/>
              <c:layout>
                <c:manualLayout>
                  <c:x val="-5.0867049553586534E-3"/>
                  <c:y val="-5.47732162422862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34-4DAF-8611-FA1E1772FA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Figures!$B$3:$B$11</c:f>
              <c:numCache>
                <c:formatCode>0%</c:formatCode>
                <c:ptCount val="9"/>
                <c:pt idx="0">
                  <c:v>0.17949352816409628</c:v>
                </c:pt>
                <c:pt idx="1">
                  <c:v>0.36912981210194562</c:v>
                </c:pt>
                <c:pt idx="2">
                  <c:v>0.3138274379903373</c:v>
                </c:pt>
                <c:pt idx="3">
                  <c:v>6.6264836727943727E-2</c:v>
                </c:pt>
                <c:pt idx="4">
                  <c:v>2.90723838846518E-2</c:v>
                </c:pt>
                <c:pt idx="5">
                  <c:v>1.9368959605736799E-2</c:v>
                </c:pt>
                <c:pt idx="6">
                  <c:v>7.6297796493328867E-3</c:v>
                </c:pt>
                <c:pt idx="7">
                  <c:v>7.9580815159337771E-3</c:v>
                </c:pt>
                <c:pt idx="8">
                  <c:v>6.6553735413758192E-3</c:v>
                </c:pt>
              </c:numCache>
            </c:numRef>
          </c:val>
          <c:extLst>
            <c:ext xmlns:c16="http://schemas.microsoft.com/office/drawing/2014/chart" uri="{C3380CC4-5D6E-409C-BE32-E72D297353CC}">
              <c16:uniqueId val="{00000003-E034-4DAF-8611-FA1E1772FAEB}"/>
            </c:ext>
          </c:extLst>
        </c:ser>
        <c:ser>
          <c:idx val="1"/>
          <c:order val="1"/>
          <c:tx>
            <c:strRef>
              <c:f>Figures!$C$2</c:f>
              <c:strCache>
                <c:ptCount val="1"/>
                <c:pt idx="0">
                  <c:v>Percent of Total CB Expenditures w/o Rate Support</c:v>
                </c:pt>
              </c:strCache>
            </c:strRef>
          </c:tx>
          <c:spPr>
            <a:solidFill>
              <a:schemeClr val="accent2"/>
            </a:solidFill>
            <a:ln>
              <a:noFill/>
            </a:ln>
            <a:effectLst/>
          </c:spPr>
          <c:invertIfNegative val="0"/>
          <c:dLbls>
            <c:dLbl>
              <c:idx val="0"/>
              <c:layout>
                <c:manualLayout>
                  <c:x val="6.7822732738113478E-3"/>
                  <c:y val="1.9192189943162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34-4DAF-8611-FA1E1772FAEB}"/>
                </c:ext>
              </c:extLst>
            </c:dLbl>
            <c:dLbl>
              <c:idx val="1"/>
              <c:layout>
                <c:manualLayout>
                  <c:x val="3.3911366369056002E-3"/>
                  <c:y val="-2.51041007730007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34-4DAF-8611-FA1E1772FAEB}"/>
                </c:ext>
              </c:extLst>
            </c:dLbl>
            <c:dLbl>
              <c:idx val="2"/>
              <c:layout>
                <c:manualLayout>
                  <c:x val="1.186897822916994E-2"/>
                  <c:y val="-8.2159824363428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34-4DAF-8611-FA1E1772FAEB}"/>
                </c:ext>
              </c:extLst>
            </c:dLbl>
            <c:dLbl>
              <c:idx val="3"/>
              <c:layout>
                <c:manualLayout>
                  <c:x val="8.4778415922641247E-3"/>
                  <c:y val="-5.47732162422862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34-4DAF-8611-FA1E1772FA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Figures!$C$3:$C$11</c:f>
              <c:numCache>
                <c:formatCode>0%</c:formatCode>
                <c:ptCount val="9"/>
                <c:pt idx="0">
                  <c:v>1.3304564485250785E-2</c:v>
                </c:pt>
                <c:pt idx="1">
                  <c:v>0.57975329496691963</c:v>
                </c:pt>
                <c:pt idx="2">
                  <c:v>0.19090807363812157</c:v>
                </c:pt>
                <c:pt idx="3">
                  <c:v>0.10407519570069382</c:v>
                </c:pt>
                <c:pt idx="4">
                  <c:v>4.566092956213226E-2</c:v>
                </c:pt>
                <c:pt idx="5">
                  <c:v>3.0420783646718328E-2</c:v>
                </c:pt>
                <c:pt idx="6">
                  <c:v>1.1983290827646957E-2</c:v>
                </c:pt>
                <c:pt idx="7">
                  <c:v>1.2498919971285698E-2</c:v>
                </c:pt>
                <c:pt idx="8">
                  <c:v>1.0452893842079222E-2</c:v>
                </c:pt>
              </c:numCache>
            </c:numRef>
          </c:val>
          <c:extLst>
            <c:ext xmlns:c16="http://schemas.microsoft.com/office/drawing/2014/chart" uri="{C3380CC4-5D6E-409C-BE32-E72D297353CC}">
              <c16:uniqueId val="{00000008-E034-4DAF-8611-FA1E1772FAEB}"/>
            </c:ext>
          </c:extLst>
        </c:ser>
        <c:dLbls>
          <c:showLegendKey val="0"/>
          <c:showVal val="1"/>
          <c:showCatName val="0"/>
          <c:showSerName val="0"/>
          <c:showPercent val="0"/>
          <c:showBubbleSize val="0"/>
        </c:dLbls>
        <c:gapWidth val="219"/>
        <c:overlap val="-27"/>
        <c:axId val="115730304"/>
        <c:axId val="115731840"/>
      </c:barChart>
      <c:catAx>
        <c:axId val="115730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31840"/>
        <c:crosses val="autoZero"/>
        <c:auto val="1"/>
        <c:lblAlgn val="ctr"/>
        <c:lblOffset val="300"/>
        <c:noMultiLvlLbl val="0"/>
      </c:catAx>
      <c:valAx>
        <c:axId val="11573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30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129887</xdr:colOff>
      <xdr:row>16</xdr:row>
      <xdr:rowOff>189057</xdr:rowOff>
    </xdr:from>
    <xdr:to>
      <xdr:col>14</xdr:col>
      <xdr:colOff>590264</xdr:colOff>
      <xdr:row>33</xdr:row>
      <xdr:rowOff>189057</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115454</xdr:colOff>
      <xdr:row>38</xdr:row>
      <xdr:rowOff>134216</xdr:rowOff>
    </xdr:from>
    <xdr:to>
      <xdr:col>14</xdr:col>
      <xdr:colOff>525318</xdr:colOff>
      <xdr:row>58</xdr:row>
      <xdr:rowOff>134215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620402</xdr:colOff>
      <xdr:row>66</xdr:row>
      <xdr:rowOff>367855</xdr:rowOff>
    </xdr:from>
    <xdr:to>
      <xdr:col>13</xdr:col>
      <xdr:colOff>166501</xdr:colOff>
      <xdr:row>84</xdr:row>
      <xdr:rowOff>71787</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44378</xdr:colOff>
      <xdr:row>1</xdr:row>
      <xdr:rowOff>27781</xdr:rowOff>
    </xdr:from>
    <xdr:to>
      <xdr:col>14</xdr:col>
      <xdr:colOff>589901</xdr:colOff>
      <xdr:row>16</xdr:row>
      <xdr:rowOff>41129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0.04846</cdr:x>
      <cdr:y>0.87404</cdr:y>
    </cdr:from>
    <cdr:to>
      <cdr:x>0.19751</cdr:x>
      <cdr:y>1</cdr:y>
    </cdr:to>
    <cdr:sp macro="" textlink="">
      <cdr:nvSpPr>
        <cdr:cNvPr id="2" name="TextBox 1"/>
        <cdr:cNvSpPr txBox="1"/>
      </cdr:nvSpPr>
      <cdr:spPr>
        <a:xfrm xmlns:a="http://schemas.openxmlformats.org/drawingml/2006/main">
          <a:off x="297296" y="3554916"/>
          <a:ext cx="914400" cy="512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0.03576</cdr:x>
      <cdr:y>0.94428</cdr:y>
    </cdr:from>
    <cdr:to>
      <cdr:x>0.1848</cdr:x>
      <cdr:y>1</cdr:y>
    </cdr:to>
    <cdr:sp macro="" textlink="">
      <cdr:nvSpPr>
        <cdr:cNvPr id="3" name="TextBox 2"/>
        <cdr:cNvSpPr txBox="1"/>
      </cdr:nvSpPr>
      <cdr:spPr>
        <a:xfrm xmlns:a="http://schemas.openxmlformats.org/drawingml/2006/main">
          <a:off x="271988" y="4127500"/>
          <a:ext cx="1133588" cy="2435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abra.Wilson@umm.ed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mcbrik@holycrosshealth.org"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jacobs@frederick.healt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cohler@umm.ed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jdeibel@mdmercy.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tiebert@jhu.edu"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jsessa@lifebridgehealth.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jsessa@lifebridgehealth.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kackerman@gcmh.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rita.mecca@peninsula.org"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ccrabbs@aahs.org"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Beth.E.Kelly@medstar.ne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aruble@wmhs.com"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mailto:Beth.E.Kelly@medstar.n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katie.w.coombes@christianacare.org"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sbrewer@lifebridgehealth.org"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mailto:Beth.E.Kelly@medstar.net"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mailto:jclague1@umm.edu"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mailto:georgios.roros@umm.edu"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jsessa@lifebridgehealth.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laurie.fetterman@umm.edu"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cprazenica@gbmc.org" TargetMode="Externa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2.bin"/><Relationship Id="rId1" Type="http://schemas.openxmlformats.org/officeDocument/2006/relationships/hyperlink" Target="mailto:cspence@mccreadyhealth.org" TargetMode="External"/><Relationship Id="rId4" Type="http://schemas.openxmlformats.org/officeDocument/2006/relationships/comments" Target="../comments1.xm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mailto:fmoll1@jhmi.edu"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mailto:cohler@umm.edu"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Mdudley@DCHweb.org"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mailto:mtodd@atlanticgeneral.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mailto:Beth.E.Kelly@medstar.net"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mailto:paulnicholson@umm.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mailto:jsessa@lifebridgehealth.org"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mcbrik@holycrosshealth.org"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mailto:Beth.E.Kelly@medstar.net"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mailto:tglenn@sheppardpratt.org" TargetMode="External"/></Relationships>
</file>

<file path=xl/worksheets/_rels/sheet57.xml.rels><?xml version="1.0" encoding="UTF-8" standalone="yes"?>
<Relationships xmlns="http://schemas.openxmlformats.org/package/2006/relationships"><Relationship Id="rId1" Type="http://schemas.openxmlformats.org/officeDocument/2006/relationships/hyperlink" Target="mailto:Rachana.Patani@MWPH.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llen.twigg@meritushealth.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54"/>
  <sheetViews>
    <sheetView tabSelected="1" zoomScaleNormal="100" workbookViewId="0">
      <selection activeCell="A2" sqref="A2"/>
    </sheetView>
  </sheetViews>
  <sheetFormatPr defaultColWidth="9.27734375" defaultRowHeight="14.4" x14ac:dyDescent="0.55000000000000004"/>
  <cols>
    <col min="1" max="1" width="18.71875" style="265" customWidth="1"/>
    <col min="2" max="2" width="52" style="265" bestFit="1" customWidth="1"/>
    <col min="3" max="3" width="13.71875" style="264" bestFit="1" customWidth="1"/>
    <col min="4" max="4" width="13.27734375" style="264" bestFit="1" customWidth="1"/>
    <col min="5" max="5" width="15.27734375" style="265" bestFit="1" customWidth="1"/>
    <col min="6" max="6" width="12.109375" style="265" bestFit="1" customWidth="1"/>
    <col min="7" max="8" width="9.27734375" style="265"/>
    <col min="9" max="9" width="10.27734375" style="265" bestFit="1" customWidth="1"/>
    <col min="10" max="13" width="9.27734375" style="265"/>
    <col min="14" max="14" width="10.27734375" style="265" bestFit="1" customWidth="1"/>
    <col min="15" max="15" width="15.27734375" style="265" bestFit="1" customWidth="1"/>
    <col min="16" max="16384" width="9.27734375" style="265"/>
  </cols>
  <sheetData>
    <row r="1" spans="1:7" x14ac:dyDescent="0.55000000000000004">
      <c r="A1" s="3" t="s">
        <v>849</v>
      </c>
      <c r="B1" s="3"/>
    </row>
    <row r="2" spans="1:7" s="267" customFormat="1" ht="43.2" x14ac:dyDescent="0.55000000000000004">
      <c r="A2" s="260" t="s">
        <v>489</v>
      </c>
      <c r="B2" s="260" t="s">
        <v>194</v>
      </c>
      <c r="C2" s="263" t="s">
        <v>490</v>
      </c>
      <c r="D2" s="263" t="s">
        <v>491</v>
      </c>
      <c r="E2" s="260" t="s">
        <v>492</v>
      </c>
      <c r="F2" s="266"/>
      <c r="G2" s="266"/>
    </row>
    <row r="3" spans="1:7" s="267" customFormat="1" x14ac:dyDescent="0.55000000000000004">
      <c r="A3" s="268">
        <v>210001</v>
      </c>
      <c r="B3" s="268" t="s">
        <v>191</v>
      </c>
      <c r="C3" s="385">
        <v>0</v>
      </c>
      <c r="D3" s="385">
        <v>371947.47321542853</v>
      </c>
      <c r="E3" s="386">
        <f>C3+D3</f>
        <v>371947.47321542853</v>
      </c>
      <c r="F3" s="265"/>
      <c r="G3" s="265"/>
    </row>
    <row r="4" spans="1:7" s="267" customFormat="1" x14ac:dyDescent="0.55000000000000004">
      <c r="A4" s="269" t="s">
        <v>556</v>
      </c>
      <c r="B4" s="268" t="s">
        <v>557</v>
      </c>
      <c r="C4" s="385">
        <v>119732581.86424297</v>
      </c>
      <c r="D4" s="385">
        <v>1876955.3467342192</v>
      </c>
      <c r="E4" s="386">
        <f t="shared" ref="E4:E52" si="0">C4+D4</f>
        <v>121609537.2109772</v>
      </c>
      <c r="F4" s="265"/>
      <c r="G4" s="265"/>
    </row>
    <row r="5" spans="1:7" s="267" customFormat="1" x14ac:dyDescent="0.55000000000000004">
      <c r="A5" s="269" t="s">
        <v>558</v>
      </c>
      <c r="B5" s="268" t="s">
        <v>593</v>
      </c>
      <c r="C5" s="385">
        <v>4654171.97</v>
      </c>
      <c r="D5" s="385">
        <v>440818.7440310198</v>
      </c>
      <c r="E5" s="386">
        <f t="shared" si="0"/>
        <v>5094990.7140310192</v>
      </c>
      <c r="F5" s="265"/>
      <c r="G5" s="265"/>
    </row>
    <row r="6" spans="1:7" s="267" customFormat="1" x14ac:dyDescent="0.55000000000000004">
      <c r="A6" s="268">
        <v>210004</v>
      </c>
      <c r="B6" s="268" t="s">
        <v>450</v>
      </c>
      <c r="C6" s="385">
        <v>2300163.2884708853</v>
      </c>
      <c r="D6" s="383">
        <v>568651.30976263585</v>
      </c>
      <c r="E6" s="386">
        <f t="shared" si="0"/>
        <v>2868814.598233521</v>
      </c>
      <c r="F6" s="265"/>
      <c r="G6" s="265"/>
    </row>
    <row r="7" spans="1:7" s="267" customFormat="1" x14ac:dyDescent="0.55000000000000004">
      <c r="A7" s="268">
        <v>210005</v>
      </c>
      <c r="B7" s="268" t="s">
        <v>559</v>
      </c>
      <c r="C7" s="385">
        <v>0</v>
      </c>
      <c r="D7" s="383">
        <v>393815.22345268057</v>
      </c>
      <c r="E7" s="386">
        <f t="shared" si="0"/>
        <v>393815.22345268057</v>
      </c>
      <c r="F7" s="265"/>
      <c r="G7" s="265"/>
    </row>
    <row r="8" spans="1:7" s="267" customFormat="1" x14ac:dyDescent="0.55000000000000004">
      <c r="A8" s="268">
        <v>210006</v>
      </c>
      <c r="B8" s="268" t="s">
        <v>560</v>
      </c>
      <c r="C8" s="385">
        <v>0</v>
      </c>
      <c r="D8" s="383">
        <v>117514.50467379</v>
      </c>
      <c r="E8" s="386">
        <f t="shared" si="0"/>
        <v>117514.50467379</v>
      </c>
      <c r="F8" s="265"/>
      <c r="G8" s="265"/>
    </row>
    <row r="9" spans="1:7" s="267" customFormat="1" x14ac:dyDescent="0.55000000000000004">
      <c r="A9" s="268">
        <v>210008</v>
      </c>
      <c r="B9" s="268" t="s">
        <v>561</v>
      </c>
      <c r="C9" s="385">
        <v>5222205.8638570011</v>
      </c>
      <c r="D9" s="383">
        <v>594951.0867366062</v>
      </c>
      <c r="E9" s="386">
        <f t="shared" si="0"/>
        <v>5817156.9505936075</v>
      </c>
      <c r="F9" s="265"/>
      <c r="G9" s="265"/>
    </row>
    <row r="10" spans="1:7" s="267" customFormat="1" x14ac:dyDescent="0.55000000000000004">
      <c r="A10" s="268">
        <v>210009</v>
      </c>
      <c r="B10" s="268" t="s">
        <v>451</v>
      </c>
      <c r="C10" s="384">
        <v>119235430</v>
      </c>
      <c r="D10" s="383">
        <v>2657027.4183751694</v>
      </c>
      <c r="E10" s="386">
        <f t="shared" si="0"/>
        <v>121892457.41837516</v>
      </c>
      <c r="F10" s="265"/>
      <c r="G10" s="265"/>
    </row>
    <row r="11" spans="1:7" s="267" customFormat="1" x14ac:dyDescent="0.55000000000000004">
      <c r="A11" s="268">
        <v>210010</v>
      </c>
      <c r="B11" s="268" t="s">
        <v>562</v>
      </c>
      <c r="C11" s="384">
        <v>0</v>
      </c>
      <c r="D11" s="383">
        <v>57158.994238054867</v>
      </c>
      <c r="E11" s="386">
        <f t="shared" si="0"/>
        <v>57158.994238054867</v>
      </c>
      <c r="F11" s="265"/>
      <c r="G11" s="265"/>
    </row>
    <row r="12" spans="1:7" s="267" customFormat="1" x14ac:dyDescent="0.55000000000000004">
      <c r="A12" s="268">
        <v>210011</v>
      </c>
      <c r="B12" s="268" t="s">
        <v>563</v>
      </c>
      <c r="C12" s="384">
        <v>8822978.5049858764</v>
      </c>
      <c r="D12" s="383">
        <v>488207.18417009525</v>
      </c>
      <c r="E12" s="386">
        <f t="shared" si="0"/>
        <v>9311185.6891559716</v>
      </c>
      <c r="F12" s="265"/>
      <c r="G12" s="265"/>
    </row>
    <row r="13" spans="1:7" s="267" customFormat="1" x14ac:dyDescent="0.55000000000000004">
      <c r="A13" s="268">
        <v>210012</v>
      </c>
      <c r="B13" s="268" t="s">
        <v>564</v>
      </c>
      <c r="C13" s="384">
        <v>17345062.650161888</v>
      </c>
      <c r="D13" s="383">
        <v>870728.94963890221</v>
      </c>
      <c r="E13" s="386">
        <f t="shared" si="0"/>
        <v>18215791.599800792</v>
      </c>
      <c r="F13" s="265"/>
      <c r="G13" s="265"/>
    </row>
    <row r="14" spans="1:7" s="267" customFormat="1" x14ac:dyDescent="0.55000000000000004">
      <c r="A14" s="268">
        <v>210013</v>
      </c>
      <c r="B14" s="268" t="s">
        <v>565</v>
      </c>
      <c r="C14" s="384">
        <v>0</v>
      </c>
      <c r="D14" s="383">
        <v>123743.94007305219</v>
      </c>
      <c r="E14" s="386">
        <f t="shared" si="0"/>
        <v>123743.94007305219</v>
      </c>
      <c r="F14" s="265"/>
      <c r="G14" s="265"/>
    </row>
    <row r="15" spans="1:7" s="267" customFormat="1" x14ac:dyDescent="0.55000000000000004">
      <c r="A15" s="268">
        <v>210015</v>
      </c>
      <c r="B15" s="268" t="s">
        <v>566</v>
      </c>
      <c r="C15" s="384">
        <v>8779316.6365507785</v>
      </c>
      <c r="D15" s="383">
        <v>596420.9020850145</v>
      </c>
      <c r="E15" s="386">
        <f t="shared" si="0"/>
        <v>9375737.5386357922</v>
      </c>
      <c r="F15" s="265"/>
      <c r="G15" s="265"/>
    </row>
    <row r="16" spans="1:7" s="267" customFormat="1" x14ac:dyDescent="0.55000000000000004">
      <c r="A16" s="268">
        <v>210016</v>
      </c>
      <c r="B16" s="268" t="s">
        <v>567</v>
      </c>
      <c r="C16" s="384">
        <v>0</v>
      </c>
      <c r="D16" s="383">
        <v>311221.43994336878</v>
      </c>
      <c r="E16" s="386">
        <f t="shared" si="0"/>
        <v>311221.43994336878</v>
      </c>
      <c r="F16" s="265"/>
      <c r="G16" s="265"/>
    </row>
    <row r="17" spans="1:7" s="267" customFormat="1" x14ac:dyDescent="0.55000000000000004">
      <c r="A17" s="268">
        <v>210017</v>
      </c>
      <c r="B17" s="268" t="s">
        <v>568</v>
      </c>
      <c r="C17" s="384">
        <v>0</v>
      </c>
      <c r="D17" s="383">
        <v>64222.33662943486</v>
      </c>
      <c r="E17" s="386">
        <f t="shared" si="0"/>
        <v>64222.33662943486</v>
      </c>
      <c r="F17" s="265"/>
      <c r="G17" s="265"/>
    </row>
    <row r="18" spans="1:7" s="267" customFormat="1" x14ac:dyDescent="0.55000000000000004">
      <c r="A18" s="268">
        <v>210018</v>
      </c>
      <c r="B18" s="268" t="s">
        <v>569</v>
      </c>
      <c r="C18" s="384">
        <v>0</v>
      </c>
      <c r="D18" s="383">
        <v>202905.44986940883</v>
      </c>
      <c r="E18" s="386">
        <f t="shared" si="0"/>
        <v>202905.44986940883</v>
      </c>
      <c r="F18" s="265"/>
      <c r="G18" s="265"/>
    </row>
    <row r="19" spans="1:7" s="267" customFormat="1" x14ac:dyDescent="0.55000000000000004">
      <c r="A19" s="268">
        <v>210019</v>
      </c>
      <c r="B19" s="268" t="s">
        <v>396</v>
      </c>
      <c r="C19" s="384">
        <v>0</v>
      </c>
      <c r="D19" s="383">
        <v>501914.25172187493</v>
      </c>
      <c r="E19" s="386">
        <f t="shared" si="0"/>
        <v>501914.25172187493</v>
      </c>
      <c r="F19" s="265"/>
      <c r="G19" s="265"/>
    </row>
    <row r="20" spans="1:7" s="267" customFormat="1" x14ac:dyDescent="0.55000000000000004">
      <c r="A20" s="268">
        <v>210022</v>
      </c>
      <c r="B20" s="268" t="s">
        <v>570</v>
      </c>
      <c r="C20" s="384">
        <v>598256.29259507696</v>
      </c>
      <c r="D20" s="383">
        <v>363619.40836355969</v>
      </c>
      <c r="E20" s="386">
        <f t="shared" si="0"/>
        <v>961875.70095863659</v>
      </c>
      <c r="F20" s="265"/>
      <c r="G20" s="265"/>
    </row>
    <row r="21" spans="1:7" s="267" customFormat="1" x14ac:dyDescent="0.55000000000000004">
      <c r="A21" s="268">
        <v>210023</v>
      </c>
      <c r="B21" s="268" t="s">
        <v>571</v>
      </c>
      <c r="C21" s="384">
        <v>1295673.25376</v>
      </c>
      <c r="D21" s="383">
        <v>696466.30788299639</v>
      </c>
      <c r="E21" s="386">
        <f t="shared" si="0"/>
        <v>1992139.5616429965</v>
      </c>
      <c r="F21" s="265"/>
      <c r="G21" s="265"/>
    </row>
    <row r="22" spans="1:7" s="267" customFormat="1" x14ac:dyDescent="0.55000000000000004">
      <c r="A22" s="268">
        <v>210024</v>
      </c>
      <c r="B22" s="268" t="s">
        <v>397</v>
      </c>
      <c r="C22" s="384">
        <v>13134515.132040251</v>
      </c>
      <c r="D22" s="383">
        <v>489842.64567936305</v>
      </c>
      <c r="E22" s="386">
        <f t="shared" si="0"/>
        <v>13624357.777719613</v>
      </c>
      <c r="F22" s="265"/>
      <c r="G22" s="265"/>
    </row>
    <row r="23" spans="1:7" s="267" customFormat="1" x14ac:dyDescent="0.55000000000000004">
      <c r="A23" s="268">
        <v>210027</v>
      </c>
      <c r="B23" s="268" t="s">
        <v>572</v>
      </c>
      <c r="C23" s="384">
        <v>0</v>
      </c>
      <c r="D23" s="383">
        <v>371133.81051549339</v>
      </c>
      <c r="E23" s="386">
        <f t="shared" si="0"/>
        <v>371133.81051549339</v>
      </c>
      <c r="F23" s="265"/>
      <c r="G23" s="265"/>
    </row>
    <row r="24" spans="1:7" s="267" customFormat="1" x14ac:dyDescent="0.55000000000000004">
      <c r="A24" s="268">
        <v>210028</v>
      </c>
      <c r="B24" s="268" t="s">
        <v>573</v>
      </c>
      <c r="C24" s="384">
        <v>0</v>
      </c>
      <c r="D24" s="383">
        <v>217834.65187806301</v>
      </c>
      <c r="E24" s="386">
        <f t="shared" si="0"/>
        <v>217834.65187806301</v>
      </c>
      <c r="F24" s="265"/>
      <c r="G24" s="265"/>
    </row>
    <row r="25" spans="1:7" s="267" customFormat="1" x14ac:dyDescent="0.55000000000000004">
      <c r="A25" s="268">
        <v>210029</v>
      </c>
      <c r="B25" s="268" t="s">
        <v>574</v>
      </c>
      <c r="C25" s="384">
        <v>25126323.900739532</v>
      </c>
      <c r="D25" s="383">
        <v>745886.82491962449</v>
      </c>
      <c r="E25" s="386">
        <f t="shared" si="0"/>
        <v>25872210.725659158</v>
      </c>
      <c r="F25" s="265"/>
      <c r="G25" s="265"/>
    </row>
    <row r="26" spans="1:7" s="267" customFormat="1" x14ac:dyDescent="0.55000000000000004">
      <c r="A26" s="268">
        <v>210030</v>
      </c>
      <c r="B26" s="268" t="s">
        <v>575</v>
      </c>
      <c r="C26" s="384">
        <v>0</v>
      </c>
      <c r="D26" s="383">
        <v>66387.561937979801</v>
      </c>
      <c r="E26" s="386">
        <f t="shared" si="0"/>
        <v>66387.561937979801</v>
      </c>
      <c r="F26" s="265"/>
      <c r="G26" s="265"/>
    </row>
    <row r="27" spans="1:7" s="267" customFormat="1" x14ac:dyDescent="0.55000000000000004">
      <c r="A27" s="268">
        <v>210032</v>
      </c>
      <c r="B27" s="268" t="s">
        <v>226</v>
      </c>
      <c r="C27" s="384">
        <v>0</v>
      </c>
      <c r="D27" s="383">
        <v>184880.4691019555</v>
      </c>
      <c r="E27" s="386">
        <f t="shared" si="0"/>
        <v>184880.4691019555</v>
      </c>
      <c r="F27" s="265"/>
      <c r="G27" s="265"/>
    </row>
    <row r="28" spans="1:7" s="267" customFormat="1" x14ac:dyDescent="0.55000000000000004">
      <c r="A28" s="268">
        <v>210033</v>
      </c>
      <c r="B28" s="268" t="s">
        <v>576</v>
      </c>
      <c r="C28" s="384">
        <v>0</v>
      </c>
      <c r="D28" s="383">
        <v>260679.68808085762</v>
      </c>
      <c r="E28" s="386">
        <f t="shared" si="0"/>
        <v>260679.68808085762</v>
      </c>
      <c r="F28" s="265"/>
      <c r="G28" s="265"/>
    </row>
    <row r="29" spans="1:7" s="267" customFormat="1" x14ac:dyDescent="0.55000000000000004">
      <c r="A29" s="268">
        <v>210034</v>
      </c>
      <c r="B29" s="268" t="s">
        <v>577</v>
      </c>
      <c r="C29" s="384">
        <v>3866850.9143537963</v>
      </c>
      <c r="D29" s="383">
        <v>217001.12384571211</v>
      </c>
      <c r="E29" s="386">
        <f t="shared" si="0"/>
        <v>4083852.0381995086</v>
      </c>
      <c r="F29" s="265"/>
      <c r="G29" s="265"/>
    </row>
    <row r="30" spans="1:7" s="267" customFormat="1" x14ac:dyDescent="0.55000000000000004">
      <c r="A30" s="268">
        <v>210035</v>
      </c>
      <c r="B30" s="268" t="s">
        <v>578</v>
      </c>
      <c r="C30" s="384">
        <v>0</v>
      </c>
      <c r="D30" s="383">
        <v>172929.54764220578</v>
      </c>
      <c r="E30" s="386">
        <f t="shared" si="0"/>
        <v>172929.54764220578</v>
      </c>
      <c r="F30" s="265"/>
      <c r="G30" s="265"/>
    </row>
    <row r="31" spans="1:7" s="267" customFormat="1" x14ac:dyDescent="0.55000000000000004">
      <c r="A31" s="268">
        <v>210037</v>
      </c>
      <c r="B31" s="268" t="s">
        <v>579</v>
      </c>
      <c r="C31" s="384">
        <v>0</v>
      </c>
      <c r="D31" s="383">
        <v>235287.18304092251</v>
      </c>
      <c r="E31" s="386">
        <f t="shared" si="0"/>
        <v>235287.18304092251</v>
      </c>
      <c r="F31" s="265"/>
      <c r="G31" s="265"/>
    </row>
    <row r="32" spans="1:7" s="267" customFormat="1" x14ac:dyDescent="0.55000000000000004">
      <c r="A32" s="268">
        <v>210038</v>
      </c>
      <c r="B32" s="268" t="s">
        <v>580</v>
      </c>
      <c r="C32" s="384">
        <v>4875718.937990238</v>
      </c>
      <c r="D32" s="383">
        <v>265141.32696275105</v>
      </c>
      <c r="E32" s="386">
        <f t="shared" si="0"/>
        <v>5140860.2649529893</v>
      </c>
      <c r="F32" s="265"/>
      <c r="G32" s="265"/>
    </row>
    <row r="33" spans="1:7" s="267" customFormat="1" x14ac:dyDescent="0.55000000000000004">
      <c r="A33" s="268">
        <v>210039</v>
      </c>
      <c r="B33" s="268" t="s">
        <v>581</v>
      </c>
      <c r="C33" s="384">
        <v>0</v>
      </c>
      <c r="D33" s="383">
        <v>165427.30366032847</v>
      </c>
      <c r="E33" s="386">
        <f t="shared" si="0"/>
        <v>165427.30366032847</v>
      </c>
      <c r="F33" s="265"/>
      <c r="G33" s="265"/>
    </row>
    <row r="34" spans="1:7" s="267" customFormat="1" x14ac:dyDescent="0.55000000000000004">
      <c r="A34" s="268">
        <v>210040</v>
      </c>
      <c r="B34" s="268" t="s">
        <v>477</v>
      </c>
      <c r="C34" s="384">
        <v>0</v>
      </c>
      <c r="D34" s="383">
        <v>296207.02045518125</v>
      </c>
      <c r="E34" s="386">
        <f t="shared" si="0"/>
        <v>296207.02045518125</v>
      </c>
      <c r="F34" s="265"/>
      <c r="G34" s="265"/>
    </row>
    <row r="35" spans="1:7" s="267" customFormat="1" x14ac:dyDescent="0.55000000000000004">
      <c r="A35" s="268">
        <v>210043</v>
      </c>
      <c r="B35" s="268" t="s">
        <v>582</v>
      </c>
      <c r="C35" s="385">
        <v>650488.00938975799</v>
      </c>
      <c r="D35" s="385">
        <v>474915.20177033206</v>
      </c>
      <c r="E35" s="386">
        <f t="shared" si="0"/>
        <v>1125403.2111600901</v>
      </c>
      <c r="F35" s="265"/>
      <c r="G35" s="265"/>
    </row>
    <row r="36" spans="1:7" s="267" customFormat="1" x14ac:dyDescent="0.55000000000000004">
      <c r="A36" s="268">
        <v>210044</v>
      </c>
      <c r="B36" s="268" t="s">
        <v>444</v>
      </c>
      <c r="C36" s="385">
        <v>7731237.0365392836</v>
      </c>
      <c r="D36" s="385">
        <v>510520.21149329422</v>
      </c>
      <c r="E36" s="386">
        <f t="shared" si="0"/>
        <v>8241757.2480325773</v>
      </c>
      <c r="F36" s="265"/>
      <c r="G36" s="265"/>
    </row>
    <row r="37" spans="1:7" s="267" customFormat="1" x14ac:dyDescent="0.55000000000000004">
      <c r="A37" s="268">
        <v>210045</v>
      </c>
      <c r="B37" s="268" t="s">
        <v>583</v>
      </c>
      <c r="C37" s="385">
        <v>0</v>
      </c>
      <c r="D37" s="385">
        <v>19140.30579217929</v>
      </c>
      <c r="E37" s="386">
        <f t="shared" si="0"/>
        <v>19140.30579217929</v>
      </c>
      <c r="F37" s="265"/>
      <c r="G37" s="265"/>
    </row>
    <row r="38" spans="1:7" s="267" customFormat="1" x14ac:dyDescent="0.55000000000000004">
      <c r="A38" s="268">
        <v>210048</v>
      </c>
      <c r="B38" s="268" t="s">
        <v>265</v>
      </c>
      <c r="C38" s="385">
        <v>0</v>
      </c>
      <c r="D38" s="385">
        <v>344313.33678705309</v>
      </c>
      <c r="E38" s="386">
        <f t="shared" si="0"/>
        <v>344313.33678705309</v>
      </c>
      <c r="F38" s="265"/>
      <c r="G38" s="265"/>
    </row>
    <row r="39" spans="1:7" s="267" customFormat="1" x14ac:dyDescent="0.55000000000000004">
      <c r="A39" s="268">
        <v>210049</v>
      </c>
      <c r="B39" s="268" t="s">
        <v>584</v>
      </c>
      <c r="C39" s="385">
        <v>0</v>
      </c>
      <c r="D39" s="385">
        <v>379634.4057027513</v>
      </c>
      <c r="E39" s="386">
        <f t="shared" si="0"/>
        <v>379634.4057027513</v>
      </c>
      <c r="F39" s="265"/>
      <c r="G39" s="265"/>
    </row>
    <row r="40" spans="1:7" s="267" customFormat="1" x14ac:dyDescent="0.55000000000000004">
      <c r="A40" s="268">
        <v>210051</v>
      </c>
      <c r="B40" s="268" t="s">
        <v>585</v>
      </c>
      <c r="C40" s="385">
        <v>0</v>
      </c>
      <c r="D40" s="385">
        <v>274647.62113709224</v>
      </c>
      <c r="E40" s="386">
        <f t="shared" si="0"/>
        <v>274647.62113709224</v>
      </c>
      <c r="F40" s="265"/>
      <c r="G40" s="265"/>
    </row>
    <row r="41" spans="1:7" s="267" customFormat="1" x14ac:dyDescent="0.55000000000000004">
      <c r="A41" s="268">
        <v>210056</v>
      </c>
      <c r="B41" s="270" t="s">
        <v>403</v>
      </c>
      <c r="C41" s="385">
        <v>4725287.1870337427</v>
      </c>
      <c r="D41" s="385">
        <v>0</v>
      </c>
      <c r="E41" s="386">
        <f t="shared" si="0"/>
        <v>4725287.1870337427</v>
      </c>
      <c r="F41" s="265"/>
      <c r="G41" s="265"/>
    </row>
    <row r="42" spans="1:7" s="267" customFormat="1" x14ac:dyDescent="0.55000000000000004">
      <c r="A42" s="268">
        <v>210057</v>
      </c>
      <c r="B42" s="270" t="s">
        <v>586</v>
      </c>
      <c r="C42" s="385">
        <v>0</v>
      </c>
      <c r="D42" s="385">
        <v>67583.204397545749</v>
      </c>
      <c r="E42" s="386">
        <f t="shared" si="0"/>
        <v>67583.204397545749</v>
      </c>
      <c r="F42" s="265"/>
      <c r="G42" s="265"/>
    </row>
    <row r="43" spans="1:7" s="267" customFormat="1" x14ac:dyDescent="0.55000000000000004">
      <c r="A43" s="268">
        <v>210058</v>
      </c>
      <c r="B43" s="270" t="s">
        <v>587</v>
      </c>
      <c r="C43" s="385">
        <v>4059877.7675999999</v>
      </c>
      <c r="D43" s="385">
        <v>0</v>
      </c>
      <c r="E43" s="386">
        <f t="shared" si="0"/>
        <v>4059877.7675999999</v>
      </c>
      <c r="F43" s="265"/>
      <c r="G43" s="265"/>
    </row>
    <row r="44" spans="1:7" s="267" customFormat="1" x14ac:dyDescent="0.55000000000000004">
      <c r="A44" s="268">
        <v>210060</v>
      </c>
      <c r="B44" s="270" t="s">
        <v>228</v>
      </c>
      <c r="C44" s="385">
        <v>0</v>
      </c>
      <c r="D44" s="385">
        <v>48775.661675817792</v>
      </c>
      <c r="E44" s="386">
        <f t="shared" si="0"/>
        <v>48775.661675817792</v>
      </c>
      <c r="F44" s="265"/>
      <c r="G44" s="265"/>
    </row>
    <row r="45" spans="1:7" s="267" customFormat="1" x14ac:dyDescent="0.55000000000000004">
      <c r="A45" s="268">
        <v>210061</v>
      </c>
      <c r="B45" s="270" t="s">
        <v>231</v>
      </c>
      <c r="C45" s="385">
        <v>0</v>
      </c>
      <c r="D45" s="385">
        <v>48775.661675817792</v>
      </c>
      <c r="E45" s="386">
        <f t="shared" si="0"/>
        <v>48775.661675817792</v>
      </c>
      <c r="F45" s="265"/>
      <c r="G45" s="265"/>
    </row>
    <row r="46" spans="1:7" s="267" customFormat="1" x14ac:dyDescent="0.55000000000000004">
      <c r="A46" s="268">
        <v>210062</v>
      </c>
      <c r="B46" s="270" t="s">
        <v>588</v>
      </c>
      <c r="C46" s="385">
        <v>0</v>
      </c>
      <c r="D46" s="385">
        <v>293106.50483734877</v>
      </c>
      <c r="E46" s="386">
        <f t="shared" si="0"/>
        <v>293106.50483734877</v>
      </c>
      <c r="F46" s="265"/>
      <c r="G46" s="265"/>
    </row>
    <row r="47" spans="1:7" s="267" customFormat="1" x14ac:dyDescent="0.55000000000000004">
      <c r="A47" s="268">
        <v>210063</v>
      </c>
      <c r="B47" s="270" t="s">
        <v>589</v>
      </c>
      <c r="C47" s="385">
        <v>0</v>
      </c>
      <c r="D47" s="385">
        <v>457635.06515634083</v>
      </c>
      <c r="E47" s="386">
        <f t="shared" si="0"/>
        <v>457635.06515634083</v>
      </c>
      <c r="F47" s="265"/>
      <c r="G47" s="265"/>
    </row>
    <row r="48" spans="1:7" s="267" customFormat="1" x14ac:dyDescent="0.55000000000000004">
      <c r="A48" s="268">
        <v>210064</v>
      </c>
      <c r="B48" s="270" t="s">
        <v>195</v>
      </c>
      <c r="C48" s="385">
        <v>0</v>
      </c>
      <c r="D48" s="385">
        <v>67583.204397545749</v>
      </c>
      <c r="E48" s="386">
        <f t="shared" si="0"/>
        <v>67583.204397545749</v>
      </c>
      <c r="F48" s="265"/>
      <c r="G48" s="265"/>
    </row>
    <row r="49" spans="1:7" s="267" customFormat="1" x14ac:dyDescent="0.55000000000000004">
      <c r="A49" s="268">
        <v>210065</v>
      </c>
      <c r="B49" s="270" t="s">
        <v>590</v>
      </c>
      <c r="C49" s="385">
        <v>0</v>
      </c>
      <c r="D49" s="385">
        <v>457635.06515634083</v>
      </c>
      <c r="E49" s="386">
        <f t="shared" si="0"/>
        <v>457635.06515634083</v>
      </c>
      <c r="F49" s="265"/>
      <c r="G49" s="265"/>
    </row>
    <row r="50" spans="1:7" s="267" customFormat="1" x14ac:dyDescent="0.55000000000000004">
      <c r="A50" s="268">
        <v>213300</v>
      </c>
      <c r="B50" s="270" t="s">
        <v>591</v>
      </c>
      <c r="C50" s="385">
        <v>0</v>
      </c>
      <c r="D50" s="385">
        <v>67837.475493086895</v>
      </c>
      <c r="E50" s="386">
        <f t="shared" si="0"/>
        <v>67837.475493086895</v>
      </c>
      <c r="F50" s="265"/>
      <c r="G50" s="265"/>
    </row>
    <row r="51" spans="1:7" s="267" customFormat="1" x14ac:dyDescent="0.55000000000000004">
      <c r="A51" s="268">
        <v>214000</v>
      </c>
      <c r="B51" s="270" t="s">
        <v>196</v>
      </c>
      <c r="C51" s="385">
        <v>2692100.4499999997</v>
      </c>
      <c r="D51" s="385">
        <v>167183.76999999999</v>
      </c>
      <c r="E51" s="386">
        <f t="shared" si="0"/>
        <v>2859284.2199999997</v>
      </c>
      <c r="F51" s="265"/>
      <c r="G51" s="265"/>
    </row>
    <row r="52" spans="1:7" s="267" customFormat="1" x14ac:dyDescent="0.55000000000000004">
      <c r="A52" s="268">
        <v>213029</v>
      </c>
      <c r="B52" s="270" t="s">
        <v>592</v>
      </c>
      <c r="C52" s="385">
        <v>0</v>
      </c>
      <c r="D52" s="385">
        <v>0</v>
      </c>
      <c r="E52" s="386">
        <f t="shared" si="0"/>
        <v>0</v>
      </c>
      <c r="F52" s="265"/>
      <c r="G52" s="265"/>
    </row>
    <row r="53" spans="1:7" s="267" customFormat="1" x14ac:dyDescent="0.55000000000000004">
      <c r="A53" s="262"/>
      <c r="B53" s="271" t="s">
        <v>192</v>
      </c>
      <c r="C53" s="387">
        <f>SUM(C3:C52)</f>
        <v>354848239.66031098</v>
      </c>
      <c r="D53" s="387">
        <f>SUM(D3:D52)</f>
        <v>18666216.124790296</v>
      </c>
      <c r="E53" s="388">
        <f>SUM(E3:E52)</f>
        <v>373514455.78510141</v>
      </c>
      <c r="F53" s="305"/>
      <c r="G53" s="265"/>
    </row>
    <row r="54" spans="1:7" x14ac:dyDescent="0.55000000000000004">
      <c r="E54" s="264"/>
    </row>
  </sheetData>
  <pageMargins left="0.7" right="0.7" top="0.75" bottom="0.75" header="0.3" footer="0.3"/>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K156"/>
  <sheetViews>
    <sheetView showGridLines="0" topLeftCell="A136" zoomScale="80" zoomScaleNormal="80" zoomScaleSheetLayoutView="80" workbookViewId="0">
      <selection activeCell="K152" sqref="K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659</v>
      </c>
      <c r="D5" s="666"/>
      <c r="E5" s="666"/>
      <c r="F5" s="666"/>
      <c r="G5" s="667"/>
    </row>
    <row r="6" spans="1:11" ht="18" customHeight="1" x14ac:dyDescent="0.4">
      <c r="B6" s="1" t="s">
        <v>3</v>
      </c>
      <c r="C6" s="683">
        <v>210003</v>
      </c>
      <c r="D6" s="684"/>
      <c r="E6" s="684"/>
      <c r="F6" s="684"/>
      <c r="G6" s="685"/>
    </row>
    <row r="7" spans="1:11" ht="18" customHeight="1" x14ac:dyDescent="0.4">
      <c r="B7" s="1" t="s">
        <v>4</v>
      </c>
      <c r="C7" s="686">
        <v>2500</v>
      </c>
      <c r="D7" s="687"/>
      <c r="E7" s="687"/>
      <c r="F7" s="687"/>
      <c r="G7" s="688"/>
    </row>
    <row r="9" spans="1:11" ht="18" customHeight="1" x14ac:dyDescent="0.4">
      <c r="B9" s="1" t="s">
        <v>1</v>
      </c>
      <c r="C9" s="663" t="s">
        <v>660</v>
      </c>
      <c r="D9" s="666"/>
      <c r="E9" s="666"/>
      <c r="F9" s="666"/>
      <c r="G9" s="667"/>
    </row>
    <row r="10" spans="1:11" ht="18" customHeight="1" x14ac:dyDescent="0.4">
      <c r="B10" s="1" t="s">
        <v>2</v>
      </c>
      <c r="C10" s="660" t="s">
        <v>661</v>
      </c>
      <c r="D10" s="661"/>
      <c r="E10" s="661"/>
      <c r="F10" s="661"/>
      <c r="G10" s="662"/>
    </row>
    <row r="11" spans="1:11" ht="18" customHeight="1" x14ac:dyDescent="0.4">
      <c r="B11" s="1" t="s">
        <v>32</v>
      </c>
      <c r="C11" s="682" t="s">
        <v>662</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6810995.29</v>
      </c>
      <c r="I18" s="115">
        <v>0</v>
      </c>
      <c r="J18" s="307">
        <v>5644749.6100000003</v>
      </c>
      <c r="K18" s="308">
        <f>(H18+I18)-J18</f>
        <v>1166245.6799999997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558</v>
      </c>
      <c r="G21" s="306">
        <v>2593</v>
      </c>
      <c r="H21" s="307">
        <v>76125.7</v>
      </c>
      <c r="I21" s="115">
        <f t="shared" ref="I21:I34" si="0">H21*F$114</f>
        <v>43465.995224219063</v>
      </c>
      <c r="J21" s="307">
        <v>0</v>
      </c>
      <c r="K21" s="308">
        <f t="shared" ref="K21:K34" si="1">(H21+I21)-J21</f>
        <v>119591.69522421906</v>
      </c>
    </row>
    <row r="22" spans="1:11" ht="18" customHeight="1" x14ac:dyDescent="0.4">
      <c r="A22" s="1" t="s">
        <v>76</v>
      </c>
      <c r="B22" t="s">
        <v>6</v>
      </c>
      <c r="F22" s="306">
        <v>280</v>
      </c>
      <c r="G22" s="306">
        <v>280</v>
      </c>
      <c r="H22" s="307">
        <v>12160</v>
      </c>
      <c r="I22" s="115">
        <f t="shared" si="0"/>
        <v>6943.0757540029681</v>
      </c>
      <c r="J22" s="307">
        <v>0</v>
      </c>
      <c r="K22" s="308">
        <f t="shared" si="1"/>
        <v>19103.075754002966</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v>224</v>
      </c>
      <c r="G25" s="306">
        <v>560</v>
      </c>
      <c r="H25" s="307">
        <v>8960</v>
      </c>
      <c r="I25" s="115">
        <f t="shared" si="0"/>
        <v>5115.9505555811347</v>
      </c>
      <c r="J25" s="307">
        <v>0</v>
      </c>
      <c r="K25" s="308">
        <f t="shared" si="1"/>
        <v>14075.950555581134</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v>2592</v>
      </c>
      <c r="G28" s="306">
        <v>570</v>
      </c>
      <c r="H28" s="307">
        <v>195060</v>
      </c>
      <c r="I28" s="115">
        <f t="shared" si="0"/>
        <v>111374.70037630091</v>
      </c>
      <c r="J28" s="352">
        <v>50000</v>
      </c>
      <c r="K28" s="308">
        <f t="shared" si="1"/>
        <v>256434.7003763009</v>
      </c>
    </row>
    <row r="29" spans="1:11" ht="18" customHeight="1" x14ac:dyDescent="0.4">
      <c r="A29" s="1" t="s">
        <v>83</v>
      </c>
      <c r="B29" t="s">
        <v>48</v>
      </c>
      <c r="F29" s="306"/>
      <c r="G29" s="311">
        <v>2010</v>
      </c>
      <c r="H29" s="307">
        <v>169155.06</v>
      </c>
      <c r="I29" s="115">
        <f t="shared" si="0"/>
        <v>96583.585177049128</v>
      </c>
      <c r="J29" s="307">
        <v>0</v>
      </c>
      <c r="K29" s="308">
        <f t="shared" si="1"/>
        <v>265738.6451770491</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3654</v>
      </c>
      <c r="G36" s="310">
        <f t="shared" si="2"/>
        <v>6013</v>
      </c>
      <c r="H36" s="351">
        <f t="shared" si="2"/>
        <v>461460.76</v>
      </c>
      <c r="I36" s="308">
        <f t="shared" si="2"/>
        <v>263483.3070871532</v>
      </c>
      <c r="J36" s="308">
        <f t="shared" si="2"/>
        <v>50000</v>
      </c>
      <c r="K36" s="308">
        <f t="shared" si="2"/>
        <v>674944.06708715321</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118560</v>
      </c>
      <c r="G40" s="306">
        <v>1650</v>
      </c>
      <c r="H40" s="307">
        <v>4437858.3500000006</v>
      </c>
      <c r="I40" s="115">
        <v>0</v>
      </c>
      <c r="J40" s="307">
        <v>2136234</v>
      </c>
      <c r="K40" s="308">
        <f t="shared" ref="K40:K47" si="3">(H40+I40)-J40</f>
        <v>2301624.3500000006</v>
      </c>
    </row>
    <row r="41" spans="1:11" ht="18" customHeight="1" x14ac:dyDescent="0.4">
      <c r="A41" s="1" t="s">
        <v>88</v>
      </c>
      <c r="B41" s="635" t="s">
        <v>50</v>
      </c>
      <c r="C41" s="636"/>
      <c r="F41" s="311">
        <v>27800</v>
      </c>
      <c r="G41" s="311"/>
      <c r="H41" s="352">
        <v>5585.78</v>
      </c>
      <c r="I41" s="116">
        <v>0</v>
      </c>
      <c r="J41" s="352"/>
      <c r="K41" s="353">
        <f t="shared" si="3"/>
        <v>5585.78</v>
      </c>
    </row>
    <row r="42" spans="1:11" ht="18" customHeight="1" x14ac:dyDescent="0.4">
      <c r="A42" s="1" t="s">
        <v>89</v>
      </c>
      <c r="B42" s="94" t="s">
        <v>11</v>
      </c>
      <c r="F42" s="418">
        <v>12000</v>
      </c>
      <c r="G42" s="306"/>
      <c r="H42" s="352">
        <v>1393000</v>
      </c>
      <c r="I42" s="115">
        <v>0</v>
      </c>
      <c r="J42" s="307"/>
      <c r="K42" s="308">
        <f t="shared" si="3"/>
        <v>1393000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158360</v>
      </c>
      <c r="G49" s="312">
        <f t="shared" si="4"/>
        <v>1650</v>
      </c>
      <c r="H49" s="308">
        <f t="shared" si="4"/>
        <v>5836444.1300000008</v>
      </c>
      <c r="I49" s="308">
        <f t="shared" si="4"/>
        <v>0</v>
      </c>
      <c r="J49" s="308">
        <f t="shared" si="4"/>
        <v>2136234</v>
      </c>
      <c r="K49" s="308">
        <f t="shared" si="4"/>
        <v>3700210.1300000004</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5">
      <c r="A53" s="1" t="s">
        <v>51</v>
      </c>
      <c r="B53" s="680" t="s">
        <v>601</v>
      </c>
      <c r="C53" s="681"/>
      <c r="D53" s="679"/>
      <c r="F53" s="306">
        <v>149899.14000000001</v>
      </c>
      <c r="G53" s="306"/>
      <c r="H53" s="307">
        <v>2247387.4696685886</v>
      </c>
      <c r="I53" s="115">
        <v>0</v>
      </c>
      <c r="J53" s="307">
        <v>0</v>
      </c>
      <c r="K53" s="308">
        <f t="shared" ref="K53:K62" si="5">(H53+I53)-J53</f>
        <v>2247387.4696685886</v>
      </c>
    </row>
    <row r="54" spans="1:11" ht="18" customHeight="1" x14ac:dyDescent="0.45">
      <c r="A54" s="1" t="s">
        <v>93</v>
      </c>
      <c r="B54" s="419" t="s">
        <v>602</v>
      </c>
      <c r="C54" s="420"/>
      <c r="D54" s="421"/>
      <c r="F54" s="306">
        <v>39232.090000000004</v>
      </c>
      <c r="G54" s="306">
        <v>24151.040000000001</v>
      </c>
      <c r="H54" s="307">
        <v>9463416.9116933476</v>
      </c>
      <c r="I54" s="115">
        <v>0</v>
      </c>
      <c r="J54" s="307">
        <v>2642000</v>
      </c>
      <c r="K54" s="308">
        <f t="shared" si="5"/>
        <v>6821416.9116933476</v>
      </c>
    </row>
    <row r="55" spans="1:11" ht="18" customHeight="1" x14ac:dyDescent="0.45">
      <c r="A55" s="1" t="s">
        <v>94</v>
      </c>
      <c r="B55" s="677" t="s">
        <v>603</v>
      </c>
      <c r="C55" s="678"/>
      <c r="D55" s="679"/>
      <c r="F55" s="306">
        <v>6959.8</v>
      </c>
      <c r="G55" s="306">
        <v>14200.84</v>
      </c>
      <c r="H55" s="307">
        <v>8302116.4291093191</v>
      </c>
      <c r="I55" s="115">
        <v>0</v>
      </c>
      <c r="J55" s="307">
        <v>1814000</v>
      </c>
      <c r="K55" s="308">
        <f t="shared" si="5"/>
        <v>6488116.4291093191</v>
      </c>
    </row>
    <row r="56" spans="1:11" ht="18" customHeight="1" x14ac:dyDescent="0.45">
      <c r="A56" s="1" t="s">
        <v>95</v>
      </c>
      <c r="B56" s="677" t="s">
        <v>663</v>
      </c>
      <c r="C56" s="678"/>
      <c r="D56" s="679"/>
      <c r="F56" s="306">
        <v>24326.37</v>
      </c>
      <c r="G56" s="306">
        <v>3580</v>
      </c>
      <c r="H56" s="307">
        <v>10015417.429158811</v>
      </c>
      <c r="I56" s="115">
        <v>0</v>
      </c>
      <c r="J56" s="307">
        <v>2796000</v>
      </c>
      <c r="K56" s="308">
        <f t="shared" si="5"/>
        <v>7219417.4291588105</v>
      </c>
    </row>
    <row r="57" spans="1:11" ht="18" customHeight="1" x14ac:dyDescent="0.45">
      <c r="A57" s="1" t="s">
        <v>96</v>
      </c>
      <c r="B57" s="677" t="s">
        <v>604</v>
      </c>
      <c r="C57" s="678"/>
      <c r="D57" s="679"/>
      <c r="F57" s="306">
        <v>27372.84</v>
      </c>
      <c r="G57" s="306">
        <v>4365.45</v>
      </c>
      <c r="H57" s="307">
        <v>3579438.9182534707</v>
      </c>
      <c r="I57" s="115">
        <v>0</v>
      </c>
      <c r="J57" s="307">
        <v>268000</v>
      </c>
      <c r="K57" s="308">
        <f t="shared" si="5"/>
        <v>3311438.9182534707</v>
      </c>
    </row>
    <row r="58" spans="1:11" ht="18" customHeight="1" x14ac:dyDescent="0.45">
      <c r="A58" s="1" t="s">
        <v>97</v>
      </c>
      <c r="B58" s="419" t="s">
        <v>605</v>
      </c>
      <c r="C58" s="420"/>
      <c r="D58" s="421"/>
      <c r="F58" s="306">
        <v>16447.2</v>
      </c>
      <c r="G58" s="306">
        <v>18171.13</v>
      </c>
      <c r="H58" s="307">
        <v>9654753.2864632849</v>
      </c>
      <c r="I58" s="115">
        <v>0</v>
      </c>
      <c r="J58" s="307">
        <v>2165000</v>
      </c>
      <c r="K58" s="308">
        <f t="shared" si="5"/>
        <v>7489753.2864632849</v>
      </c>
    </row>
    <row r="59" spans="1:11" ht="18" customHeight="1" x14ac:dyDescent="0.45">
      <c r="A59" s="1" t="s">
        <v>98</v>
      </c>
      <c r="B59" s="677" t="s">
        <v>606</v>
      </c>
      <c r="C59" s="678"/>
      <c r="D59" s="679"/>
      <c r="F59" s="306">
        <v>10663.98</v>
      </c>
      <c r="G59" s="306"/>
      <c r="H59" s="307">
        <v>1042441.2942232102</v>
      </c>
      <c r="I59" s="115">
        <v>0</v>
      </c>
      <c r="J59" s="307">
        <v>0</v>
      </c>
      <c r="K59" s="308">
        <f t="shared" si="5"/>
        <v>1042441.2942232102</v>
      </c>
    </row>
    <row r="60" spans="1:11" ht="18" customHeight="1" x14ac:dyDescent="0.45">
      <c r="A60" s="1" t="s">
        <v>99</v>
      </c>
      <c r="B60" s="419" t="s">
        <v>664</v>
      </c>
      <c r="C60" s="420"/>
      <c r="D60" s="421"/>
      <c r="F60" s="306">
        <v>9136.74</v>
      </c>
      <c r="G60" s="306">
        <v>42951</v>
      </c>
      <c r="H60" s="307">
        <v>1257392.656143833</v>
      </c>
      <c r="I60" s="115">
        <v>0</v>
      </c>
      <c r="J60" s="307">
        <v>629000</v>
      </c>
      <c r="K60" s="308">
        <f t="shared" si="5"/>
        <v>628392.65614383295</v>
      </c>
    </row>
    <row r="61" spans="1:11" ht="18" customHeight="1" x14ac:dyDescent="0.45">
      <c r="A61" s="1" t="s">
        <v>100</v>
      </c>
      <c r="B61" s="419" t="s">
        <v>607</v>
      </c>
      <c r="C61" s="420"/>
      <c r="D61" s="421"/>
      <c r="F61" s="306">
        <v>23287.74</v>
      </c>
      <c r="G61" s="306">
        <v>24.92</v>
      </c>
      <c r="H61" s="307">
        <v>1384855.6052861246</v>
      </c>
      <c r="I61" s="115">
        <v>0</v>
      </c>
      <c r="J61" s="307">
        <v>100000</v>
      </c>
      <c r="K61" s="308">
        <f t="shared" si="5"/>
        <v>1284855.6052861246</v>
      </c>
    </row>
    <row r="62" spans="1:11" ht="18" customHeight="1" x14ac:dyDescent="0.45">
      <c r="A62" s="1" t="s">
        <v>101</v>
      </c>
      <c r="B62" s="677" t="s">
        <v>313</v>
      </c>
      <c r="C62" s="678"/>
      <c r="D62" s="679"/>
      <c r="F62" s="306">
        <v>25713.88</v>
      </c>
      <c r="G62" s="306"/>
      <c r="H62" s="307">
        <v>2744780</v>
      </c>
      <c r="I62" s="115">
        <v>0</v>
      </c>
      <c r="J62" s="307">
        <v>0</v>
      </c>
      <c r="K62" s="308">
        <f t="shared" si="5"/>
        <v>2744780</v>
      </c>
    </row>
    <row r="63" spans="1:11" ht="18" customHeight="1" x14ac:dyDescent="0.4">
      <c r="A63" s="1"/>
      <c r="I63" s="403"/>
    </row>
    <row r="64" spans="1:11" ht="18" customHeight="1" x14ac:dyDescent="0.4">
      <c r="A64" s="1" t="s">
        <v>144</v>
      </c>
      <c r="B64" s="95" t="s">
        <v>145</v>
      </c>
      <c r="E64" s="95" t="s">
        <v>7</v>
      </c>
      <c r="F64" s="310">
        <f t="shared" ref="F64:K64" si="6">SUM(F53:F62)</f>
        <v>333039.77999999997</v>
      </c>
      <c r="G64" s="310">
        <f t="shared" si="6"/>
        <v>107444.38</v>
      </c>
      <c r="H64" s="308">
        <f t="shared" si="6"/>
        <v>49691999.999999985</v>
      </c>
      <c r="I64" s="308">
        <f t="shared" si="6"/>
        <v>0</v>
      </c>
      <c r="J64" s="308">
        <f t="shared" si="6"/>
        <v>10414000</v>
      </c>
      <c r="K64" s="308">
        <f t="shared" si="6"/>
        <v>39277999.999999985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11"/>
      <c r="G77" s="311"/>
      <c r="H77" s="116">
        <v>32000</v>
      </c>
      <c r="I77" s="116">
        <v>0</v>
      </c>
      <c r="J77" s="352">
        <v>0</v>
      </c>
      <c r="K77" s="353">
        <f>(H77+I77)-J77</f>
        <v>32000</v>
      </c>
    </row>
    <row r="78" spans="1:11" ht="18" customHeight="1" x14ac:dyDescent="0.4">
      <c r="A78" s="1" t="s">
        <v>108</v>
      </c>
      <c r="B78" s="94" t="s">
        <v>55</v>
      </c>
      <c r="F78" s="311"/>
      <c r="G78" s="311"/>
      <c r="H78" s="365"/>
      <c r="I78" s="116">
        <v>0</v>
      </c>
      <c r="J78" s="352">
        <v>0</v>
      </c>
      <c r="K78" s="353">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0</v>
      </c>
      <c r="G82" s="411">
        <f t="shared" si="8"/>
        <v>0</v>
      </c>
      <c r="H82" s="308">
        <f t="shared" si="8"/>
        <v>32000</v>
      </c>
      <c r="I82" s="308">
        <f t="shared" si="8"/>
        <v>0</v>
      </c>
      <c r="J82" s="308">
        <f t="shared" si="8"/>
        <v>0</v>
      </c>
      <c r="K82" s="308">
        <f t="shared" si="8"/>
        <v>32000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c r="G88" s="306"/>
      <c r="H88" s="307"/>
      <c r="I88" s="115">
        <f t="shared" si="9"/>
        <v>0</v>
      </c>
      <c r="J88" s="307"/>
      <c r="K88" s="308">
        <f t="shared" si="10"/>
        <v>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v>174</v>
      </c>
      <c r="G91" s="306"/>
      <c r="H91" s="307">
        <v>14652</v>
      </c>
      <c r="I91" s="115">
        <f t="shared" si="9"/>
        <v>8365.949502273972</v>
      </c>
      <c r="J91" s="307">
        <v>0</v>
      </c>
      <c r="K91" s="308">
        <f t="shared" si="10"/>
        <v>23017.949502273972</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v>50</v>
      </c>
      <c r="G93" s="306">
        <v>120</v>
      </c>
      <c r="H93" s="307">
        <v>2820</v>
      </c>
      <c r="I93" s="115">
        <f t="shared" si="9"/>
        <v>1610.1540811092411</v>
      </c>
      <c r="J93" s="307">
        <v>0</v>
      </c>
      <c r="K93" s="308">
        <f t="shared" si="10"/>
        <v>4430.1540811092409</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224</v>
      </c>
      <c r="G98" s="310">
        <f t="shared" si="11"/>
        <v>120</v>
      </c>
      <c r="H98" s="351">
        <f t="shared" si="11"/>
        <v>17472</v>
      </c>
      <c r="I98" s="351">
        <f t="shared" si="11"/>
        <v>9976.1035833832138</v>
      </c>
      <c r="J98" s="351">
        <f t="shared" si="11"/>
        <v>0</v>
      </c>
      <c r="K98" s="351">
        <f t="shared" si="11"/>
        <v>27448.103583383214</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4160</v>
      </c>
      <c r="G102" s="306"/>
      <c r="H102" s="307">
        <v>459887</v>
      </c>
      <c r="I102" s="115">
        <f>H102*F$114</f>
        <v>262584.72691456933</v>
      </c>
      <c r="J102" s="307">
        <v>0</v>
      </c>
      <c r="K102" s="308">
        <f>(H102+I102)-J102</f>
        <v>722471.72691456927</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4160</v>
      </c>
      <c r="G108" s="310">
        <f t="shared" si="12"/>
        <v>0</v>
      </c>
      <c r="H108" s="308">
        <f t="shared" si="12"/>
        <v>459887</v>
      </c>
      <c r="I108" s="308">
        <f t="shared" si="12"/>
        <v>262584.72691456933</v>
      </c>
      <c r="J108" s="308">
        <f t="shared" si="12"/>
        <v>0</v>
      </c>
      <c r="K108" s="308">
        <f t="shared" si="12"/>
        <v>722471.72691456927</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9170000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0.57097662450682307</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286264000</v>
      </c>
    </row>
    <row r="118" spans="1:6" ht="18" customHeight="1" x14ac:dyDescent="0.4">
      <c r="A118" s="1" t="s">
        <v>173</v>
      </c>
      <c r="B118" t="s">
        <v>18</v>
      </c>
      <c r="F118" s="307">
        <v>39992000</v>
      </c>
    </row>
    <row r="119" spans="1:6" ht="18" customHeight="1" x14ac:dyDescent="0.4">
      <c r="A119" s="1" t="s">
        <v>174</v>
      </c>
      <c r="B119" s="95" t="s">
        <v>19</v>
      </c>
      <c r="F119" s="308">
        <f>SUM(F117:F118)</f>
        <v>326256000</v>
      </c>
    </row>
    <row r="120" spans="1:6" ht="18" customHeight="1" x14ac:dyDescent="0.4">
      <c r="A120" s="1"/>
      <c r="B120" s="95"/>
    </row>
    <row r="121" spans="1:6" ht="18" customHeight="1" x14ac:dyDescent="0.4">
      <c r="A121" s="1" t="s">
        <v>167</v>
      </c>
      <c r="B121" s="95" t="s">
        <v>36</v>
      </c>
      <c r="F121" s="307">
        <v>322178000</v>
      </c>
    </row>
    <row r="122" spans="1:6" ht="18" customHeight="1" x14ac:dyDescent="0.4">
      <c r="A122" s="1"/>
    </row>
    <row r="123" spans="1:6" ht="18" customHeight="1" x14ac:dyDescent="0.4">
      <c r="A123" s="1" t="s">
        <v>175</v>
      </c>
      <c r="B123" s="95" t="s">
        <v>20</v>
      </c>
      <c r="F123" s="307">
        <v>4078000</v>
      </c>
    </row>
    <row r="124" spans="1:6" ht="18" customHeight="1" x14ac:dyDescent="0.4">
      <c r="A124" s="1"/>
    </row>
    <row r="125" spans="1:6" ht="18" customHeight="1" x14ac:dyDescent="0.4">
      <c r="A125" s="1" t="s">
        <v>176</v>
      </c>
      <c r="B125" s="95" t="s">
        <v>21</v>
      </c>
      <c r="F125" s="307">
        <v>1117000</v>
      </c>
    </row>
    <row r="126" spans="1:6" ht="18" customHeight="1" x14ac:dyDescent="0.4">
      <c r="A126" s="1"/>
    </row>
    <row r="127" spans="1:6" ht="18" customHeight="1" x14ac:dyDescent="0.4">
      <c r="A127" s="1" t="s">
        <v>177</v>
      </c>
      <c r="B127" s="95" t="s">
        <v>22</v>
      </c>
      <c r="F127" s="307">
        <v>5195000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11"/>
      <c r="G132" s="311"/>
      <c r="H132" s="352"/>
      <c r="I132" s="116">
        <v>0</v>
      </c>
      <c r="J132" s="352"/>
      <c r="K132" s="353">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3654</v>
      </c>
      <c r="G141" s="109">
        <f t="shared" si="14"/>
        <v>6013</v>
      </c>
      <c r="H141" s="217">
        <f t="shared" si="14"/>
        <v>461460.76</v>
      </c>
      <c r="I141" s="217">
        <f t="shared" si="14"/>
        <v>263483.3070871532</v>
      </c>
      <c r="J141" s="217">
        <f t="shared" si="14"/>
        <v>50000</v>
      </c>
      <c r="K141" s="106">
        <f t="shared" si="14"/>
        <v>674944.06708715321</v>
      </c>
    </row>
    <row r="142" spans="1:11" ht="18" customHeight="1" x14ac:dyDescent="0.4">
      <c r="A142" s="1" t="s">
        <v>142</v>
      </c>
      <c r="B142" s="95" t="s">
        <v>65</v>
      </c>
      <c r="F142" s="109">
        <f t="shared" ref="F142:K142" si="15">F49</f>
        <v>158360</v>
      </c>
      <c r="G142" s="109">
        <f t="shared" si="15"/>
        <v>1650</v>
      </c>
      <c r="H142" s="217">
        <f t="shared" si="15"/>
        <v>5836444.1300000008</v>
      </c>
      <c r="I142" s="217">
        <f t="shared" si="15"/>
        <v>0</v>
      </c>
      <c r="J142" s="217">
        <f t="shared" si="15"/>
        <v>2136234</v>
      </c>
      <c r="K142" s="106">
        <f t="shared" si="15"/>
        <v>3700210.1300000004</v>
      </c>
    </row>
    <row r="143" spans="1:11" ht="18" customHeight="1" x14ac:dyDescent="0.4">
      <c r="A143" s="1" t="s">
        <v>144</v>
      </c>
      <c r="B143" s="95" t="s">
        <v>66</v>
      </c>
      <c r="F143" s="109">
        <f t="shared" ref="F143:K143" si="16">F64</f>
        <v>333039.77999999997</v>
      </c>
      <c r="G143" s="109">
        <f t="shared" si="16"/>
        <v>107444.38</v>
      </c>
      <c r="H143" s="217">
        <f t="shared" si="16"/>
        <v>49691999.999999985</v>
      </c>
      <c r="I143" s="217">
        <f t="shared" si="16"/>
        <v>0</v>
      </c>
      <c r="J143" s="217">
        <f t="shared" si="16"/>
        <v>10414000</v>
      </c>
      <c r="K143" s="106">
        <f t="shared" si="16"/>
        <v>39277999.999999985</v>
      </c>
    </row>
    <row r="144" spans="1:11" ht="18" customHeight="1" x14ac:dyDescent="0.4">
      <c r="A144" s="1" t="s">
        <v>146</v>
      </c>
      <c r="B144" s="95" t="s">
        <v>67</v>
      </c>
      <c r="F144" s="109">
        <f t="shared" ref="F144:K144" si="17">F74</f>
        <v>0</v>
      </c>
      <c r="G144" s="109">
        <f t="shared" si="17"/>
        <v>0</v>
      </c>
      <c r="H144" s="217">
        <f t="shared" si="17"/>
        <v>0</v>
      </c>
      <c r="I144" s="217">
        <f t="shared" si="17"/>
        <v>0</v>
      </c>
      <c r="J144" s="217">
        <f t="shared" si="17"/>
        <v>0</v>
      </c>
      <c r="K144" s="106">
        <f t="shared" si="17"/>
        <v>0</v>
      </c>
    </row>
    <row r="145" spans="1:11" ht="18" customHeight="1" x14ac:dyDescent="0.4">
      <c r="A145" s="1" t="s">
        <v>148</v>
      </c>
      <c r="B145" s="95" t="s">
        <v>68</v>
      </c>
      <c r="F145" s="109">
        <f t="shared" ref="F145:K145" si="18">F82</f>
        <v>0</v>
      </c>
      <c r="G145" s="109">
        <f t="shared" si="18"/>
        <v>0</v>
      </c>
      <c r="H145" s="217">
        <f t="shared" si="18"/>
        <v>32000</v>
      </c>
      <c r="I145" s="217">
        <f t="shared" si="18"/>
        <v>0</v>
      </c>
      <c r="J145" s="217">
        <f t="shared" si="18"/>
        <v>0</v>
      </c>
      <c r="K145" s="106">
        <f t="shared" si="18"/>
        <v>32000</v>
      </c>
    </row>
    <row r="146" spans="1:11" ht="18" customHeight="1" x14ac:dyDescent="0.4">
      <c r="A146" s="1" t="s">
        <v>150</v>
      </c>
      <c r="B146" s="95" t="s">
        <v>69</v>
      </c>
      <c r="F146" s="109">
        <f t="shared" ref="F146:K146" si="19">F98</f>
        <v>224</v>
      </c>
      <c r="G146" s="109">
        <f t="shared" si="19"/>
        <v>120</v>
      </c>
      <c r="H146" s="217">
        <f t="shared" si="19"/>
        <v>17472</v>
      </c>
      <c r="I146" s="217">
        <f t="shared" si="19"/>
        <v>9976.1035833832138</v>
      </c>
      <c r="J146" s="217">
        <f t="shared" si="19"/>
        <v>0</v>
      </c>
      <c r="K146" s="106">
        <f t="shared" si="19"/>
        <v>27448.103583383214</v>
      </c>
    </row>
    <row r="147" spans="1:11" ht="18" customHeight="1" x14ac:dyDescent="0.4">
      <c r="A147" s="1" t="s">
        <v>153</v>
      </c>
      <c r="B147" s="95" t="s">
        <v>61</v>
      </c>
      <c r="F147" s="310">
        <f t="shared" ref="F147:K147" si="20">F108</f>
        <v>4160</v>
      </c>
      <c r="G147" s="310">
        <f t="shared" si="20"/>
        <v>0</v>
      </c>
      <c r="H147" s="351">
        <f t="shared" si="20"/>
        <v>459887</v>
      </c>
      <c r="I147" s="351">
        <f t="shared" si="20"/>
        <v>262584.72691456933</v>
      </c>
      <c r="J147" s="351">
        <f t="shared" si="20"/>
        <v>0</v>
      </c>
      <c r="K147" s="308">
        <f t="shared" si="20"/>
        <v>722471.72691456927</v>
      </c>
    </row>
    <row r="148" spans="1:11" ht="18" customHeight="1" x14ac:dyDescent="0.4">
      <c r="A148" s="1" t="s">
        <v>155</v>
      </c>
      <c r="B148" s="95" t="s">
        <v>70</v>
      </c>
      <c r="F148" s="110" t="s">
        <v>73</v>
      </c>
      <c r="G148" s="110" t="s">
        <v>73</v>
      </c>
      <c r="H148" s="111" t="s">
        <v>73</v>
      </c>
      <c r="I148" s="111" t="s">
        <v>73</v>
      </c>
      <c r="J148" s="111" t="s">
        <v>73</v>
      </c>
      <c r="K148" s="106">
        <f>F111</f>
        <v>9170000</v>
      </c>
    </row>
    <row r="149" spans="1:11" ht="18" customHeight="1" x14ac:dyDescent="0.4">
      <c r="A149" s="1" t="s">
        <v>163</v>
      </c>
      <c r="B149" s="95" t="s">
        <v>71</v>
      </c>
      <c r="F149" s="310">
        <f t="shared" ref="F149:K149" si="21">F137</f>
        <v>0</v>
      </c>
      <c r="G149" s="310">
        <f t="shared" si="21"/>
        <v>0</v>
      </c>
      <c r="H149" s="351">
        <f t="shared" si="21"/>
        <v>0</v>
      </c>
      <c r="I149" s="310">
        <f t="shared" si="21"/>
        <v>0</v>
      </c>
      <c r="J149" s="351">
        <f t="shared" si="21"/>
        <v>0</v>
      </c>
      <c r="K149" s="308">
        <f t="shared" si="21"/>
        <v>0</v>
      </c>
    </row>
    <row r="150" spans="1:11" ht="18" customHeight="1" x14ac:dyDescent="0.4">
      <c r="A150" s="1" t="s">
        <v>185</v>
      </c>
      <c r="B150" s="95" t="s">
        <v>186</v>
      </c>
      <c r="F150" s="110" t="s">
        <v>73</v>
      </c>
      <c r="G150" s="110" t="s">
        <v>73</v>
      </c>
      <c r="H150" s="351">
        <f>H18</f>
        <v>6810995.29</v>
      </c>
      <c r="I150" s="310">
        <f>I18</f>
        <v>0</v>
      </c>
      <c r="J150" s="351">
        <f>J18</f>
        <v>5644749.6100000003</v>
      </c>
      <c r="K150" s="308">
        <f>K18</f>
        <v>1166245.6799999997</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499437.77999999997</v>
      </c>
      <c r="G152" s="114">
        <f t="shared" si="22"/>
        <v>115227.38</v>
      </c>
      <c r="H152" s="417">
        <f t="shared" si="22"/>
        <v>63310259.179999985</v>
      </c>
      <c r="I152" s="417">
        <f t="shared" si="22"/>
        <v>536044.13758510572</v>
      </c>
      <c r="J152" s="417">
        <f t="shared" si="22"/>
        <v>18244983.609999999</v>
      </c>
      <c r="K152" s="417">
        <f t="shared" si="22"/>
        <v>54771319.707585089</v>
      </c>
    </row>
    <row r="154" spans="1:11" ht="18" customHeight="1" x14ac:dyDescent="0.4">
      <c r="A154" s="98" t="s">
        <v>168</v>
      </c>
      <c r="B154" s="95" t="s">
        <v>28</v>
      </c>
      <c r="F154" s="318">
        <f>K152/F121</f>
        <v>0.17000328919909208</v>
      </c>
    </row>
    <row r="155" spans="1:11" ht="18" customHeight="1" x14ac:dyDescent="0.4">
      <c r="A155" s="98" t="s">
        <v>169</v>
      </c>
      <c r="B155" s="95" t="s">
        <v>72</v>
      </c>
      <c r="F155" s="318">
        <f>K152/F127</f>
        <v>10.543083678072202</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94:D94"/>
    <mergeCell ref="B52:C52"/>
    <mergeCell ref="B90:C90"/>
    <mergeCell ref="B53:D53"/>
    <mergeCell ref="B59:D59"/>
    <mergeCell ref="B46:D46"/>
    <mergeCell ref="B47:D47"/>
    <mergeCell ref="B55:D55"/>
    <mergeCell ref="B56:D56"/>
    <mergeCell ref="B57:D57"/>
  </mergeCells>
  <hyperlinks>
    <hyperlink ref="C11" r:id="rId1" xr:uid="{E0912CEB-E0E0-45F8-9BC2-1CAD5A820513}"/>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K156"/>
  <sheetViews>
    <sheetView showGridLines="0" topLeftCell="A139" zoomScale="80" zoomScaleNormal="80" zoomScaleSheetLayoutView="80" workbookViewId="0">
      <selection activeCell="H150" sqref="H150"/>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223</v>
      </c>
      <c r="D5" s="666"/>
      <c r="E5" s="666"/>
      <c r="F5" s="666"/>
      <c r="G5" s="667"/>
    </row>
    <row r="6" spans="1:11" ht="18" customHeight="1" x14ac:dyDescent="0.4">
      <c r="B6" s="1" t="s">
        <v>3</v>
      </c>
      <c r="C6" s="668">
        <v>4</v>
      </c>
      <c r="D6" s="669"/>
      <c r="E6" s="669"/>
      <c r="F6" s="669"/>
      <c r="G6" s="670"/>
    </row>
    <row r="7" spans="1:11" ht="18" customHeight="1" x14ac:dyDescent="0.4">
      <c r="B7" s="1" t="s">
        <v>4</v>
      </c>
      <c r="C7" s="689">
        <v>3333</v>
      </c>
      <c r="D7" s="690"/>
      <c r="E7" s="690"/>
      <c r="F7" s="690"/>
      <c r="G7" s="691"/>
    </row>
    <row r="9" spans="1:11" ht="18" customHeight="1" x14ac:dyDescent="0.4">
      <c r="B9" s="1" t="s">
        <v>1</v>
      </c>
      <c r="C9" s="663" t="s">
        <v>511</v>
      </c>
      <c r="D9" s="666"/>
      <c r="E9" s="666"/>
      <c r="F9" s="666"/>
      <c r="G9" s="667"/>
    </row>
    <row r="10" spans="1:11" ht="18" customHeight="1" x14ac:dyDescent="0.4">
      <c r="B10" s="1" t="s">
        <v>2</v>
      </c>
      <c r="C10" s="660" t="s">
        <v>263</v>
      </c>
      <c r="D10" s="661"/>
      <c r="E10" s="661"/>
      <c r="F10" s="661"/>
      <c r="G10" s="662"/>
    </row>
    <row r="11" spans="1:11" ht="18" customHeight="1" x14ac:dyDescent="0.4">
      <c r="B11" s="1" t="s">
        <v>32</v>
      </c>
      <c r="C11" s="682" t="s">
        <v>264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9675091.3800000008</v>
      </c>
      <c r="I18" s="115">
        <v>0</v>
      </c>
      <c r="J18" s="307">
        <v>8018426.9699999997</v>
      </c>
      <c r="K18" s="308">
        <f>H18-J18</f>
        <v>1656664.4100000011</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8603</v>
      </c>
      <c r="G21" s="306">
        <v>116152</v>
      </c>
      <c r="H21" s="307">
        <v>740886</v>
      </c>
      <c r="I21" s="115">
        <v>113222</v>
      </c>
      <c r="J21" s="307">
        <v>160389</v>
      </c>
      <c r="K21" s="308">
        <f t="shared" ref="K21:K34" si="0">(H21+I21)-J21</f>
        <v>693719</v>
      </c>
    </row>
    <row r="22" spans="1:11" ht="18" customHeight="1" x14ac:dyDescent="0.4">
      <c r="A22" s="1" t="s">
        <v>76</v>
      </c>
      <c r="B22" t="s">
        <v>6</v>
      </c>
      <c r="F22" s="306">
        <v>179</v>
      </c>
      <c r="G22" s="306">
        <v>503</v>
      </c>
      <c r="H22" s="307">
        <v>7943</v>
      </c>
      <c r="I22" s="115">
        <v>1995</v>
      </c>
      <c r="J22" s="307">
        <v>1020</v>
      </c>
      <c r="K22" s="308">
        <f t="shared" si="0"/>
        <v>8918</v>
      </c>
    </row>
    <row r="23" spans="1:11" ht="18" customHeight="1" x14ac:dyDescent="0.4">
      <c r="A23" s="1" t="s">
        <v>77</v>
      </c>
      <c r="B23" t="s">
        <v>43</v>
      </c>
      <c r="F23" s="306"/>
      <c r="G23" s="306"/>
      <c r="H23" s="307"/>
      <c r="I23" s="115">
        <f t="shared" ref="I23:I34" si="1">H23*F$114</f>
        <v>0</v>
      </c>
      <c r="J23" s="307"/>
      <c r="K23" s="308">
        <f t="shared" si="0"/>
        <v>0</v>
      </c>
    </row>
    <row r="24" spans="1:11" ht="18" customHeight="1" x14ac:dyDescent="0.4">
      <c r="A24" s="1" t="s">
        <v>78</v>
      </c>
      <c r="B24" t="s">
        <v>44</v>
      </c>
      <c r="F24" s="306">
        <v>72</v>
      </c>
      <c r="G24" s="306">
        <v>237</v>
      </c>
      <c r="H24" s="307">
        <v>4059</v>
      </c>
      <c r="I24" s="115">
        <v>1018</v>
      </c>
      <c r="J24" s="307">
        <v>0</v>
      </c>
      <c r="K24" s="308">
        <f t="shared" si="0"/>
        <v>5077</v>
      </c>
    </row>
    <row r="25" spans="1:11" ht="18" customHeight="1" x14ac:dyDescent="0.4">
      <c r="A25" s="1" t="s">
        <v>79</v>
      </c>
      <c r="B25" t="s">
        <v>5</v>
      </c>
      <c r="F25" s="306"/>
      <c r="G25" s="306"/>
      <c r="H25" s="307"/>
      <c r="I25" s="115">
        <f t="shared" si="1"/>
        <v>0</v>
      </c>
      <c r="J25" s="307"/>
      <c r="K25" s="308">
        <f t="shared" si="0"/>
        <v>0</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v>25810</v>
      </c>
      <c r="G29" s="306">
        <v>17632</v>
      </c>
      <c r="H29" s="307">
        <v>1926440</v>
      </c>
      <c r="I29" s="115">
        <v>216308</v>
      </c>
      <c r="J29" s="307">
        <v>0</v>
      </c>
      <c r="K29" s="308">
        <f t="shared" si="0"/>
        <v>2142748</v>
      </c>
    </row>
    <row r="30" spans="1:11" ht="18" customHeight="1" x14ac:dyDescent="0.4">
      <c r="A30" s="1" t="s">
        <v>84</v>
      </c>
      <c r="B30" s="630" t="s">
        <v>665</v>
      </c>
      <c r="C30" s="631"/>
      <c r="D30" s="632"/>
      <c r="F30" s="306">
        <v>3964</v>
      </c>
      <c r="G30" s="306">
        <v>10438</v>
      </c>
      <c r="H30" s="307">
        <v>10000</v>
      </c>
      <c r="I30" s="115">
        <f t="shared" si="1"/>
        <v>2510</v>
      </c>
      <c r="J30" s="307">
        <v>10000</v>
      </c>
      <c r="K30" s="308">
        <f t="shared" si="0"/>
        <v>2510</v>
      </c>
    </row>
    <row r="31" spans="1:11" ht="18" customHeight="1" x14ac:dyDescent="0.4">
      <c r="A31" s="1" t="s">
        <v>133</v>
      </c>
      <c r="B31" s="630" t="s">
        <v>666</v>
      </c>
      <c r="C31" s="631"/>
      <c r="D31" s="632"/>
      <c r="F31" s="306">
        <v>4969</v>
      </c>
      <c r="G31" s="306">
        <v>13989</v>
      </c>
      <c r="H31" s="307">
        <v>240738</v>
      </c>
      <c r="I31" s="115">
        <v>60420</v>
      </c>
      <c r="J31" s="307">
        <v>17907</v>
      </c>
      <c r="K31" s="308">
        <f t="shared" si="0"/>
        <v>283251</v>
      </c>
    </row>
    <row r="32" spans="1:11" ht="18" customHeight="1" x14ac:dyDescent="0.4">
      <c r="A32" s="1" t="s">
        <v>134</v>
      </c>
      <c r="B32" s="394" t="s">
        <v>414</v>
      </c>
      <c r="C32" s="395"/>
      <c r="D32" s="396"/>
      <c r="F32" s="306">
        <v>240</v>
      </c>
      <c r="G32" s="309">
        <v>721</v>
      </c>
      <c r="H32" s="307">
        <v>186815</v>
      </c>
      <c r="I32" s="115">
        <v>46896</v>
      </c>
      <c r="J32" s="307">
        <v>0</v>
      </c>
      <c r="K32" s="308">
        <f t="shared" si="0"/>
        <v>233711</v>
      </c>
    </row>
    <row r="33" spans="1:11" ht="18" customHeight="1" x14ac:dyDescent="0.4">
      <c r="A33" s="1" t="s">
        <v>135</v>
      </c>
      <c r="B33" s="394" t="s">
        <v>456</v>
      </c>
      <c r="C33" s="395"/>
      <c r="D33" s="396"/>
      <c r="F33" s="306">
        <v>1484</v>
      </c>
      <c r="G33" s="309">
        <v>0</v>
      </c>
      <c r="H33" s="307">
        <v>63756</v>
      </c>
      <c r="I33" s="115">
        <v>16002</v>
      </c>
      <c r="J33" s="307">
        <v>0</v>
      </c>
      <c r="K33" s="308">
        <f t="shared" si="0"/>
        <v>79758</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45321</v>
      </c>
      <c r="G36" s="310">
        <f t="shared" si="2"/>
        <v>159672</v>
      </c>
      <c r="H36" s="310">
        <f t="shared" si="2"/>
        <v>3180637</v>
      </c>
      <c r="I36" s="308">
        <f t="shared" si="2"/>
        <v>458371</v>
      </c>
      <c r="J36" s="308">
        <f t="shared" si="2"/>
        <v>189316</v>
      </c>
      <c r="K36" s="308">
        <f t="shared" si="2"/>
        <v>3449692</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1664</v>
      </c>
      <c r="G40" s="306">
        <v>0</v>
      </c>
      <c r="H40" s="307">
        <v>2581998</v>
      </c>
      <c r="I40" s="115">
        <v>648083</v>
      </c>
      <c r="J40" s="307">
        <v>0</v>
      </c>
      <c r="K40" s="308">
        <f t="shared" ref="K40:K47" si="3">(H40+I40)-J40</f>
        <v>3230081</v>
      </c>
    </row>
    <row r="41" spans="1:11" ht="18" customHeight="1" x14ac:dyDescent="0.4">
      <c r="A41" s="1" t="s">
        <v>88</v>
      </c>
      <c r="B41" s="635" t="s">
        <v>50</v>
      </c>
      <c r="C41" s="636"/>
      <c r="F41" s="306">
        <v>521</v>
      </c>
      <c r="G41" s="306">
        <v>187</v>
      </c>
      <c r="H41" s="307">
        <v>29204</v>
      </c>
      <c r="I41" s="115">
        <v>7330</v>
      </c>
      <c r="J41" s="307">
        <v>0</v>
      </c>
      <c r="K41" s="308">
        <f t="shared" si="3"/>
        <v>36534</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2185</v>
      </c>
      <c r="G49" s="312">
        <f t="shared" si="4"/>
        <v>187</v>
      </c>
      <c r="H49" s="308">
        <f t="shared" si="4"/>
        <v>2611202</v>
      </c>
      <c r="I49" s="308">
        <f t="shared" si="4"/>
        <v>655413</v>
      </c>
      <c r="J49" s="308">
        <f t="shared" si="4"/>
        <v>0</v>
      </c>
      <c r="K49" s="308">
        <f t="shared" si="4"/>
        <v>3266615</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295</v>
      </c>
      <c r="C53" s="659"/>
      <c r="D53" s="654"/>
      <c r="F53" s="306">
        <v>0</v>
      </c>
      <c r="G53" s="306">
        <v>0</v>
      </c>
      <c r="H53" s="307">
        <v>3274012</v>
      </c>
      <c r="I53" s="115">
        <v>821777</v>
      </c>
      <c r="J53" s="307">
        <v>0</v>
      </c>
      <c r="K53" s="308">
        <f t="shared" ref="K53:K62" si="5">(H53+I53)-J53</f>
        <v>4095789</v>
      </c>
    </row>
    <row r="54" spans="1:11" ht="18" customHeight="1" x14ac:dyDescent="0.4">
      <c r="A54" s="1" t="s">
        <v>93</v>
      </c>
      <c r="B54" s="400" t="s">
        <v>512</v>
      </c>
      <c r="C54" s="401"/>
      <c r="D54" s="402"/>
      <c r="F54" s="306">
        <v>63294</v>
      </c>
      <c r="G54" s="306">
        <v>86175</v>
      </c>
      <c r="H54" s="307">
        <v>0</v>
      </c>
      <c r="I54" s="115">
        <v>1773299</v>
      </c>
      <c r="J54" s="307">
        <v>0</v>
      </c>
      <c r="K54" s="308">
        <f t="shared" si="5"/>
        <v>1773299</v>
      </c>
    </row>
    <row r="55" spans="1:11" ht="18" customHeight="1" x14ac:dyDescent="0.4">
      <c r="A55" s="1" t="s">
        <v>94</v>
      </c>
      <c r="B55" s="655" t="s">
        <v>297</v>
      </c>
      <c r="C55" s="653"/>
      <c r="D55" s="654"/>
      <c r="F55" s="306">
        <v>3379</v>
      </c>
      <c r="G55" s="306">
        <v>3602</v>
      </c>
      <c r="H55" s="307">
        <v>1782666</v>
      </c>
      <c r="I55" s="115">
        <v>447445</v>
      </c>
      <c r="J55" s="307">
        <v>1373056</v>
      </c>
      <c r="K55" s="308">
        <f t="shared" si="5"/>
        <v>857055</v>
      </c>
    </row>
    <row r="56" spans="1:11" ht="18" customHeight="1" x14ac:dyDescent="0.4">
      <c r="A56" s="1" t="s">
        <v>95</v>
      </c>
      <c r="B56" s="655" t="s">
        <v>304</v>
      </c>
      <c r="C56" s="653"/>
      <c r="D56" s="654"/>
      <c r="F56" s="306">
        <v>0</v>
      </c>
      <c r="G56" s="306">
        <v>4621</v>
      </c>
      <c r="H56" s="307">
        <v>541574</v>
      </c>
      <c r="I56" s="115">
        <v>135933</v>
      </c>
      <c r="J56" s="307">
        <v>306098</v>
      </c>
      <c r="K56" s="308">
        <f t="shared" si="5"/>
        <v>371409</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66673</v>
      </c>
      <c r="G64" s="310">
        <f t="shared" si="6"/>
        <v>94398</v>
      </c>
      <c r="H64" s="308">
        <f t="shared" si="6"/>
        <v>5598252</v>
      </c>
      <c r="I64" s="308">
        <f t="shared" si="6"/>
        <v>3178454</v>
      </c>
      <c r="J64" s="308">
        <f t="shared" si="6"/>
        <v>1679154</v>
      </c>
      <c r="K64" s="308">
        <f t="shared" si="6"/>
        <v>7097552</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4280</v>
      </c>
      <c r="G68" s="313">
        <v>1326</v>
      </c>
      <c r="H68" s="313">
        <v>199513</v>
      </c>
      <c r="I68" s="115">
        <v>50083</v>
      </c>
      <c r="J68" s="313">
        <v>27875</v>
      </c>
      <c r="K68" s="308">
        <f>(H68+I68)-J68</f>
        <v>221721</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4280</v>
      </c>
      <c r="G74" s="411">
        <f t="shared" si="7"/>
        <v>1326</v>
      </c>
      <c r="H74" s="411">
        <f t="shared" si="7"/>
        <v>199513</v>
      </c>
      <c r="I74" s="412">
        <f t="shared" si="7"/>
        <v>50083</v>
      </c>
      <c r="J74" s="411">
        <f t="shared" si="7"/>
        <v>27875</v>
      </c>
      <c r="K74" s="308">
        <f t="shared" si="7"/>
        <v>221721</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2326</v>
      </c>
      <c r="G79" s="306">
        <v>0</v>
      </c>
      <c r="H79" s="307">
        <v>176996</v>
      </c>
      <c r="I79" s="115">
        <v>0</v>
      </c>
      <c r="J79" s="307">
        <v>0</v>
      </c>
      <c r="K79" s="308">
        <f>(H79+I79)-J79</f>
        <v>176996</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2326</v>
      </c>
      <c r="G82" s="411">
        <f t="shared" si="8"/>
        <v>0</v>
      </c>
      <c r="H82" s="308">
        <f t="shared" si="8"/>
        <v>176996</v>
      </c>
      <c r="I82" s="308">
        <f t="shared" si="8"/>
        <v>0</v>
      </c>
      <c r="J82" s="308">
        <f t="shared" si="8"/>
        <v>0</v>
      </c>
      <c r="K82" s="308">
        <f t="shared" si="8"/>
        <v>176996</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v>304</v>
      </c>
      <c r="G87" s="306">
        <v>18</v>
      </c>
      <c r="H87" s="307">
        <v>19530</v>
      </c>
      <c r="I87" s="115">
        <v>4904</v>
      </c>
      <c r="J87" s="307">
        <v>0</v>
      </c>
      <c r="K87" s="308">
        <f t="shared" si="10"/>
        <v>24434</v>
      </c>
    </row>
    <row r="88" spans="1:11" ht="18" customHeight="1" x14ac:dyDescent="0.4">
      <c r="A88" s="1" t="s">
        <v>115</v>
      </c>
      <c r="B88" s="94" t="s">
        <v>116</v>
      </c>
      <c r="F88" s="306"/>
      <c r="G88" s="306"/>
      <c r="H88" s="307"/>
      <c r="I88" s="115">
        <f t="shared" si="9"/>
        <v>0</v>
      </c>
      <c r="J88" s="307"/>
      <c r="K88" s="308">
        <f t="shared" si="10"/>
        <v>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c r="G91" s="306"/>
      <c r="H91" s="307"/>
      <c r="I91" s="115">
        <f t="shared" si="9"/>
        <v>0</v>
      </c>
      <c r="J91" s="307"/>
      <c r="K91" s="308">
        <f t="shared" si="10"/>
        <v>0</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v>30</v>
      </c>
      <c r="G93" s="306">
        <v>2</v>
      </c>
      <c r="H93" s="307">
        <v>3875</v>
      </c>
      <c r="I93" s="115">
        <v>973</v>
      </c>
      <c r="J93" s="307">
        <v>0</v>
      </c>
      <c r="K93" s="308">
        <f t="shared" si="10"/>
        <v>4848</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334</v>
      </c>
      <c r="G98" s="310">
        <f t="shared" si="11"/>
        <v>20</v>
      </c>
      <c r="H98" s="310">
        <f t="shared" si="11"/>
        <v>23405</v>
      </c>
      <c r="I98" s="310">
        <f t="shared" si="11"/>
        <v>5877</v>
      </c>
      <c r="J98" s="310">
        <f t="shared" si="11"/>
        <v>0</v>
      </c>
      <c r="K98" s="310">
        <f t="shared" si="11"/>
        <v>29282</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5476</v>
      </c>
      <c r="G102" s="306">
        <v>0</v>
      </c>
      <c r="H102" s="307">
        <v>327888</v>
      </c>
      <c r="I102" s="115">
        <v>82296</v>
      </c>
      <c r="J102" s="307">
        <v>0</v>
      </c>
      <c r="K102" s="308">
        <f>(H102+I102)-J102</f>
        <v>410184</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t="s">
        <v>298</v>
      </c>
      <c r="C104" s="653"/>
      <c r="D104" s="654"/>
      <c r="F104" s="306">
        <v>783</v>
      </c>
      <c r="G104" s="306">
        <v>0</v>
      </c>
      <c r="H104" s="307">
        <v>168874</v>
      </c>
      <c r="I104" s="115">
        <v>42061</v>
      </c>
      <c r="J104" s="307">
        <v>0</v>
      </c>
      <c r="K104" s="308">
        <f>(H104+I104)-J104</f>
        <v>210935</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6259</v>
      </c>
      <c r="G108" s="310">
        <f t="shared" si="12"/>
        <v>0</v>
      </c>
      <c r="H108" s="308">
        <f t="shared" si="12"/>
        <v>496762</v>
      </c>
      <c r="I108" s="308">
        <f t="shared" si="12"/>
        <v>124357</v>
      </c>
      <c r="J108" s="308">
        <f t="shared" si="12"/>
        <v>0</v>
      </c>
      <c r="K108" s="308">
        <f t="shared" si="12"/>
        <v>621119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30178692</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0.251</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453330290</v>
      </c>
    </row>
    <row r="118" spans="1:6" ht="18" customHeight="1" x14ac:dyDescent="0.4">
      <c r="A118" s="1" t="s">
        <v>173</v>
      </c>
      <c r="B118" t="s">
        <v>18</v>
      </c>
      <c r="F118" s="307">
        <v>42544743</v>
      </c>
    </row>
    <row r="119" spans="1:6" ht="18" customHeight="1" x14ac:dyDescent="0.4">
      <c r="A119" s="1" t="s">
        <v>174</v>
      </c>
      <c r="B119" s="95" t="s">
        <v>19</v>
      </c>
      <c r="F119" s="308">
        <f>SUM(F117:F118)</f>
        <v>495875033</v>
      </c>
    </row>
    <row r="120" spans="1:6" ht="18" customHeight="1" x14ac:dyDescent="0.4">
      <c r="A120" s="1"/>
      <c r="B120" s="95"/>
    </row>
    <row r="121" spans="1:6" ht="18" customHeight="1" x14ac:dyDescent="0.4">
      <c r="A121" s="1" t="s">
        <v>167</v>
      </c>
      <c r="B121" s="95" t="s">
        <v>36</v>
      </c>
      <c r="F121" s="307">
        <v>453889368</v>
      </c>
    </row>
    <row r="122" spans="1:6" ht="18" customHeight="1" x14ac:dyDescent="0.4">
      <c r="A122" s="1"/>
    </row>
    <row r="123" spans="1:6" ht="18" customHeight="1" x14ac:dyDescent="0.4">
      <c r="A123" s="1" t="s">
        <v>175</v>
      </c>
      <c r="B123" s="95" t="s">
        <v>20</v>
      </c>
      <c r="F123" s="307">
        <v>41985666</v>
      </c>
    </row>
    <row r="124" spans="1:6" ht="18" customHeight="1" x14ac:dyDescent="0.4">
      <c r="A124" s="1"/>
    </row>
    <row r="125" spans="1:6" ht="18" customHeight="1" x14ac:dyDescent="0.4">
      <c r="A125" s="1" t="s">
        <v>176</v>
      </c>
      <c r="B125" s="95" t="s">
        <v>21</v>
      </c>
      <c r="F125" s="307">
        <v>8759593</v>
      </c>
    </row>
    <row r="126" spans="1:6" ht="18" customHeight="1" x14ac:dyDescent="0.4">
      <c r="A126" s="1"/>
    </row>
    <row r="127" spans="1:6" ht="18" customHeight="1" x14ac:dyDescent="0.4">
      <c r="A127" s="1" t="s">
        <v>177</v>
      </c>
      <c r="B127" s="95" t="s">
        <v>22</v>
      </c>
      <c r="F127" s="307">
        <v>50745259</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45321</v>
      </c>
      <c r="G141" s="109">
        <f t="shared" si="14"/>
        <v>159672</v>
      </c>
      <c r="H141" s="109">
        <f t="shared" si="14"/>
        <v>3180637</v>
      </c>
      <c r="I141" s="109">
        <f t="shared" si="14"/>
        <v>458371</v>
      </c>
      <c r="J141" s="109">
        <f t="shared" si="14"/>
        <v>189316</v>
      </c>
      <c r="K141" s="109">
        <f t="shared" si="14"/>
        <v>3449692</v>
      </c>
    </row>
    <row r="142" spans="1:11" ht="18" customHeight="1" x14ac:dyDescent="0.4">
      <c r="A142" s="1" t="s">
        <v>142</v>
      </c>
      <c r="B142" s="95" t="s">
        <v>65</v>
      </c>
      <c r="F142" s="109">
        <f t="shared" ref="F142:K142" si="15">F49</f>
        <v>2185</v>
      </c>
      <c r="G142" s="109">
        <f t="shared" si="15"/>
        <v>187</v>
      </c>
      <c r="H142" s="109">
        <f t="shared" si="15"/>
        <v>2611202</v>
      </c>
      <c r="I142" s="109">
        <f t="shared" si="15"/>
        <v>655413</v>
      </c>
      <c r="J142" s="109">
        <f t="shared" si="15"/>
        <v>0</v>
      </c>
      <c r="K142" s="109">
        <f t="shared" si="15"/>
        <v>3266615</v>
      </c>
    </row>
    <row r="143" spans="1:11" ht="18" customHeight="1" x14ac:dyDescent="0.4">
      <c r="A143" s="1" t="s">
        <v>144</v>
      </c>
      <c r="B143" s="95" t="s">
        <v>66</v>
      </c>
      <c r="F143" s="109">
        <f t="shared" ref="F143:K143" si="16">F64</f>
        <v>66673</v>
      </c>
      <c r="G143" s="109">
        <f t="shared" si="16"/>
        <v>94398</v>
      </c>
      <c r="H143" s="109">
        <f t="shared" si="16"/>
        <v>5598252</v>
      </c>
      <c r="I143" s="109">
        <f t="shared" si="16"/>
        <v>3178454</v>
      </c>
      <c r="J143" s="109">
        <f t="shared" si="16"/>
        <v>1679154</v>
      </c>
      <c r="K143" s="109">
        <f t="shared" si="16"/>
        <v>7097552</v>
      </c>
    </row>
    <row r="144" spans="1:11" ht="18" customHeight="1" x14ac:dyDescent="0.4">
      <c r="A144" s="1" t="s">
        <v>146</v>
      </c>
      <c r="B144" s="95" t="s">
        <v>67</v>
      </c>
      <c r="F144" s="109">
        <f t="shared" ref="F144:K144" si="17">F74</f>
        <v>4280</v>
      </c>
      <c r="G144" s="109">
        <f t="shared" si="17"/>
        <v>1326</v>
      </c>
      <c r="H144" s="109">
        <f t="shared" si="17"/>
        <v>199513</v>
      </c>
      <c r="I144" s="109">
        <f t="shared" si="17"/>
        <v>50083</v>
      </c>
      <c r="J144" s="109">
        <f t="shared" si="17"/>
        <v>27875</v>
      </c>
      <c r="K144" s="109">
        <f t="shared" si="17"/>
        <v>221721</v>
      </c>
    </row>
    <row r="145" spans="1:11" ht="18" customHeight="1" x14ac:dyDescent="0.4">
      <c r="A145" s="1" t="s">
        <v>148</v>
      </c>
      <c r="B145" s="95" t="s">
        <v>68</v>
      </c>
      <c r="F145" s="109">
        <f t="shared" ref="F145:K145" si="18">F82</f>
        <v>2326</v>
      </c>
      <c r="G145" s="109">
        <f t="shared" si="18"/>
        <v>0</v>
      </c>
      <c r="H145" s="109">
        <f t="shared" si="18"/>
        <v>176996</v>
      </c>
      <c r="I145" s="109">
        <f t="shared" si="18"/>
        <v>0</v>
      </c>
      <c r="J145" s="109">
        <f t="shared" si="18"/>
        <v>0</v>
      </c>
      <c r="K145" s="109">
        <f t="shared" si="18"/>
        <v>176996</v>
      </c>
    </row>
    <row r="146" spans="1:11" ht="18" customHeight="1" x14ac:dyDescent="0.4">
      <c r="A146" s="1" t="s">
        <v>150</v>
      </c>
      <c r="B146" s="95" t="s">
        <v>69</v>
      </c>
      <c r="F146" s="109">
        <f t="shared" ref="F146:K146" si="19">F98</f>
        <v>334</v>
      </c>
      <c r="G146" s="109">
        <f t="shared" si="19"/>
        <v>20</v>
      </c>
      <c r="H146" s="109">
        <f t="shared" si="19"/>
        <v>23405</v>
      </c>
      <c r="I146" s="109">
        <f t="shared" si="19"/>
        <v>5877</v>
      </c>
      <c r="J146" s="109">
        <f t="shared" si="19"/>
        <v>0</v>
      </c>
      <c r="K146" s="109">
        <f t="shared" si="19"/>
        <v>29282</v>
      </c>
    </row>
    <row r="147" spans="1:11" ht="18" customHeight="1" x14ac:dyDescent="0.4">
      <c r="A147" s="1" t="s">
        <v>153</v>
      </c>
      <c r="B147" s="95" t="s">
        <v>61</v>
      </c>
      <c r="F147" s="310">
        <f t="shared" ref="F147:K147" si="20">F108</f>
        <v>6259</v>
      </c>
      <c r="G147" s="310">
        <f t="shared" si="20"/>
        <v>0</v>
      </c>
      <c r="H147" s="310">
        <f t="shared" si="20"/>
        <v>496762</v>
      </c>
      <c r="I147" s="310">
        <f t="shared" si="20"/>
        <v>124357</v>
      </c>
      <c r="J147" s="310">
        <f t="shared" si="20"/>
        <v>0</v>
      </c>
      <c r="K147" s="310">
        <f t="shared" si="20"/>
        <v>621119</v>
      </c>
    </row>
    <row r="148" spans="1:11" ht="18" customHeight="1" x14ac:dyDescent="0.4">
      <c r="A148" s="1" t="s">
        <v>155</v>
      </c>
      <c r="B148" s="95" t="s">
        <v>70</v>
      </c>
      <c r="F148" s="110" t="s">
        <v>73</v>
      </c>
      <c r="G148" s="110" t="s">
        <v>73</v>
      </c>
      <c r="H148" s="111" t="s">
        <v>73</v>
      </c>
      <c r="I148" s="111" t="s">
        <v>73</v>
      </c>
      <c r="J148" s="111" t="s">
        <v>73</v>
      </c>
      <c r="K148" s="106">
        <f>F111</f>
        <v>30178692</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9675091.3800000008</v>
      </c>
      <c r="I150" s="310">
        <f>I18</f>
        <v>0</v>
      </c>
      <c r="J150" s="310">
        <f>J18</f>
        <v>8018426.9699999997</v>
      </c>
      <c r="K150" s="310">
        <f>K18</f>
        <v>1656664.4100000011</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127378</v>
      </c>
      <c r="G152" s="114">
        <f t="shared" si="22"/>
        <v>255603</v>
      </c>
      <c r="H152" s="114">
        <f t="shared" si="22"/>
        <v>21961858.380000003</v>
      </c>
      <c r="I152" s="114">
        <f t="shared" si="22"/>
        <v>4472555</v>
      </c>
      <c r="J152" s="114">
        <f t="shared" si="22"/>
        <v>9914771.9699999988</v>
      </c>
      <c r="K152" s="114">
        <f t="shared" si="22"/>
        <v>46698333.410000004</v>
      </c>
    </row>
    <row r="154" spans="1:11" ht="18" customHeight="1" x14ac:dyDescent="0.4">
      <c r="A154" s="98" t="s">
        <v>168</v>
      </c>
      <c r="B154" s="95" t="s">
        <v>28</v>
      </c>
      <c r="F154" s="318">
        <f>K152/F121</f>
        <v>0.10288483648729134</v>
      </c>
    </row>
    <row r="155" spans="1:11" ht="18" customHeight="1" x14ac:dyDescent="0.4">
      <c r="A155" s="98" t="s">
        <v>169</v>
      </c>
      <c r="B155" s="95" t="s">
        <v>72</v>
      </c>
      <c r="F155" s="318">
        <f>K152/F127</f>
        <v>0.92025017371573581</v>
      </c>
      <c r="G155" s="95"/>
    </row>
    <row r="156" spans="1:11" ht="18" customHeight="1" x14ac:dyDescent="0.4">
      <c r="G156" s="95"/>
    </row>
  </sheetData>
  <mergeCells count="34">
    <mergeCell ref="B134:D134"/>
    <mergeCell ref="B135:D135"/>
    <mergeCell ref="B133:D133"/>
    <mergeCell ref="B104:D104"/>
    <mergeCell ref="D2:H2"/>
    <mergeCell ref="B46:D46"/>
    <mergeCell ref="B47:D47"/>
    <mergeCell ref="B34:D34"/>
    <mergeCell ref="C11:G11"/>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B45:D45"/>
    <mergeCell ref="B41:C41"/>
    <mergeCell ref="B44:D44"/>
    <mergeCell ref="B13:H13"/>
    <mergeCell ref="C5:G5"/>
    <mergeCell ref="C6:G6"/>
    <mergeCell ref="C7:G7"/>
    <mergeCell ref="C9:G9"/>
    <mergeCell ref="C10:G10"/>
    <mergeCell ref="B30:D30"/>
  </mergeCells>
  <hyperlinks>
    <hyperlink ref="C11" r:id="rId1" xr:uid="{5DFC9206-55A3-4868-BB08-36BFF7D54FA3}"/>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3" manualBreakCount="3">
    <brk id="37" max="16383" man="1"/>
    <brk id="74" max="16383" man="1"/>
    <brk id="10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K156"/>
  <sheetViews>
    <sheetView showGridLines="0" topLeftCell="A133" zoomScale="80" zoomScaleNormal="80" zoomScaleSheetLayoutView="100" workbookViewId="0">
      <selection activeCell="I158" sqref="I158"/>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109375" customWidth="1"/>
    <col min="9" max="9" width="21.109375" customWidth="1"/>
    <col min="10" max="10" width="19.886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667</v>
      </c>
      <c r="D5" s="666"/>
      <c r="E5" s="666"/>
      <c r="F5" s="666"/>
      <c r="G5" s="667"/>
    </row>
    <row r="6" spans="1:11" ht="18" customHeight="1" x14ac:dyDescent="0.4">
      <c r="B6" s="1" t="s">
        <v>3</v>
      </c>
      <c r="C6" s="668" t="s">
        <v>415</v>
      </c>
      <c r="D6" s="669"/>
      <c r="E6" s="669"/>
      <c r="F6" s="669"/>
      <c r="G6" s="670"/>
    </row>
    <row r="7" spans="1:11" ht="18" customHeight="1" x14ac:dyDescent="0.4">
      <c r="B7" s="1" t="s">
        <v>4</v>
      </c>
      <c r="C7" s="686">
        <v>2390</v>
      </c>
      <c r="D7" s="687"/>
      <c r="E7" s="687"/>
      <c r="F7" s="687"/>
      <c r="G7" s="688"/>
    </row>
    <row r="9" spans="1:11" ht="18" customHeight="1" x14ac:dyDescent="0.4">
      <c r="B9" s="1" t="s">
        <v>1</v>
      </c>
      <c r="C9" s="663" t="s">
        <v>668</v>
      </c>
      <c r="D9" s="666"/>
      <c r="E9" s="666"/>
      <c r="F9" s="666"/>
      <c r="G9" s="667"/>
    </row>
    <row r="10" spans="1:11" ht="18" customHeight="1" x14ac:dyDescent="0.4">
      <c r="B10" s="1" t="s">
        <v>2</v>
      </c>
      <c r="C10" s="660" t="s">
        <v>669</v>
      </c>
      <c r="D10" s="661"/>
      <c r="E10" s="661"/>
      <c r="F10" s="661"/>
      <c r="G10" s="662"/>
    </row>
    <row r="11" spans="1:11" ht="18" customHeight="1" x14ac:dyDescent="0.4">
      <c r="B11" s="1" t="s">
        <v>32</v>
      </c>
      <c r="C11" s="692" t="s">
        <v>670</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6779382.1399999997</v>
      </c>
      <c r="I18" s="115">
        <v>0</v>
      </c>
      <c r="J18" s="307">
        <v>5618549.5800000001</v>
      </c>
      <c r="K18" s="308">
        <f>(H18+I18)-J18</f>
        <v>1160832.5599999996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43625</v>
      </c>
      <c r="G21" s="306">
        <v>20597</v>
      </c>
      <c r="H21" s="307">
        <v>1947423</v>
      </c>
      <c r="I21" s="115">
        <f t="shared" ref="I21:I34" si="0">H21*F$114</f>
        <v>1458230.3424</v>
      </c>
      <c r="J21" s="307">
        <v>45244</v>
      </c>
      <c r="K21" s="308">
        <f t="shared" ref="K21:K34" si="1">(H21+I21)-J21</f>
        <v>3360409.3424</v>
      </c>
    </row>
    <row r="22" spans="1:11" ht="18" customHeight="1" x14ac:dyDescent="0.4">
      <c r="A22" s="1" t="s">
        <v>76</v>
      </c>
      <c r="B22" t="s">
        <v>6</v>
      </c>
      <c r="F22" s="306"/>
      <c r="G22" s="306"/>
      <c r="H22" s="307"/>
      <c r="I22" s="115">
        <f t="shared" si="0"/>
        <v>0</v>
      </c>
      <c r="J22" s="307"/>
      <c r="K22" s="308">
        <f t="shared" si="1"/>
        <v>0</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26314</v>
      </c>
      <c r="G24" s="306">
        <v>4127</v>
      </c>
      <c r="H24" s="307">
        <v>637157</v>
      </c>
      <c r="I24" s="115">
        <f t="shared" si="0"/>
        <v>477103.16159999999</v>
      </c>
      <c r="J24" s="307">
        <v>496990</v>
      </c>
      <c r="K24" s="308">
        <f t="shared" si="1"/>
        <v>617270.16159999999</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c r="G29" s="306"/>
      <c r="H29" s="307"/>
      <c r="I29" s="115">
        <f t="shared" si="0"/>
        <v>0</v>
      </c>
      <c r="J29" s="307"/>
      <c r="K29" s="308">
        <f t="shared" si="1"/>
        <v>0</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69939</v>
      </c>
      <c r="G36" s="310">
        <f t="shared" si="2"/>
        <v>24724</v>
      </c>
      <c r="H36" s="310">
        <f t="shared" si="2"/>
        <v>2584580</v>
      </c>
      <c r="I36" s="308">
        <f t="shared" si="2"/>
        <v>1935333.504</v>
      </c>
      <c r="J36" s="308">
        <f t="shared" si="2"/>
        <v>542234</v>
      </c>
      <c r="K36" s="308">
        <f t="shared" si="2"/>
        <v>3977679.5039999997</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t="s">
        <v>671</v>
      </c>
      <c r="G41" s="306" t="s">
        <v>671</v>
      </c>
      <c r="H41" s="307">
        <v>50002</v>
      </c>
      <c r="I41" s="115">
        <v>0</v>
      </c>
      <c r="J41" s="307"/>
      <c r="K41" s="308">
        <f t="shared" si="3"/>
        <v>50002</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0</v>
      </c>
      <c r="G49" s="312">
        <f t="shared" si="4"/>
        <v>0</v>
      </c>
      <c r="H49" s="308">
        <f t="shared" si="4"/>
        <v>50002</v>
      </c>
      <c r="I49" s="308">
        <f t="shared" si="4"/>
        <v>0</v>
      </c>
      <c r="J49" s="308">
        <f t="shared" si="4"/>
        <v>0</v>
      </c>
      <c r="K49" s="308">
        <f t="shared" si="4"/>
        <v>50002</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416</v>
      </c>
      <c r="C53" s="659"/>
      <c r="D53" s="654"/>
      <c r="F53" s="306">
        <v>53040</v>
      </c>
      <c r="G53" s="306">
        <v>9347</v>
      </c>
      <c r="H53" s="307">
        <v>3839015</v>
      </c>
      <c r="I53" s="115">
        <f t="shared" ref="I53:I60" si="5">H53*F$114</f>
        <v>2874654.432</v>
      </c>
      <c r="J53" s="307"/>
      <c r="K53" s="308">
        <f t="shared" ref="K53:K62" si="6">(H53+I53)-J53</f>
        <v>6713669.432</v>
      </c>
    </row>
    <row r="54" spans="1:11" ht="18" customHeight="1" x14ac:dyDescent="0.4">
      <c r="A54" s="1" t="s">
        <v>93</v>
      </c>
      <c r="B54" s="400" t="s">
        <v>457</v>
      </c>
      <c r="C54" s="401"/>
      <c r="D54" s="402"/>
      <c r="F54" s="306">
        <v>14054</v>
      </c>
      <c r="G54" s="306">
        <v>2453</v>
      </c>
      <c r="H54" s="307">
        <v>897479</v>
      </c>
      <c r="I54" s="115">
        <f t="shared" si="5"/>
        <v>672032.27520000003</v>
      </c>
      <c r="J54" s="307"/>
      <c r="K54" s="308">
        <f t="shared" si="6"/>
        <v>1569511.2752</v>
      </c>
    </row>
    <row r="55" spans="1:11" ht="18" customHeight="1" x14ac:dyDescent="0.4">
      <c r="A55" s="1" t="s">
        <v>94</v>
      </c>
      <c r="B55" s="655" t="s">
        <v>417</v>
      </c>
      <c r="C55" s="653"/>
      <c r="D55" s="654"/>
      <c r="F55" s="306">
        <v>140544</v>
      </c>
      <c r="G55" s="306">
        <v>31301</v>
      </c>
      <c r="H55" s="307">
        <v>2545481</v>
      </c>
      <c r="I55" s="115">
        <f t="shared" si="5"/>
        <v>1906056.1728000001</v>
      </c>
      <c r="J55" s="307"/>
      <c r="K55" s="308">
        <f t="shared" si="6"/>
        <v>4451537.1727999998</v>
      </c>
    </row>
    <row r="56" spans="1:11" ht="18" customHeight="1" x14ac:dyDescent="0.4">
      <c r="A56" s="1" t="s">
        <v>95</v>
      </c>
      <c r="B56" s="655" t="s">
        <v>418</v>
      </c>
      <c r="C56" s="653"/>
      <c r="D56" s="654"/>
      <c r="F56" s="306">
        <v>17568</v>
      </c>
      <c r="G56" s="306">
        <v>4452</v>
      </c>
      <c r="H56" s="307">
        <v>800000</v>
      </c>
      <c r="I56" s="115">
        <f t="shared" si="5"/>
        <v>599040</v>
      </c>
      <c r="J56" s="307"/>
      <c r="K56" s="308">
        <f t="shared" si="6"/>
        <v>1399040</v>
      </c>
    </row>
    <row r="57" spans="1:11" ht="18" customHeight="1" x14ac:dyDescent="0.4">
      <c r="A57" s="1" t="s">
        <v>96</v>
      </c>
      <c r="B57" s="655" t="s">
        <v>419</v>
      </c>
      <c r="C57" s="653"/>
      <c r="D57" s="654"/>
      <c r="F57" s="306">
        <v>8784</v>
      </c>
      <c r="G57" s="306">
        <v>918</v>
      </c>
      <c r="H57" s="307">
        <v>936998</v>
      </c>
      <c r="I57" s="115">
        <f t="shared" si="5"/>
        <v>701624.10239999997</v>
      </c>
      <c r="J57" s="307"/>
      <c r="K57" s="308">
        <f t="shared" si="6"/>
        <v>1638622.1024</v>
      </c>
    </row>
    <row r="58" spans="1:11" ht="18" customHeight="1" x14ac:dyDescent="0.4">
      <c r="A58" s="1" t="s">
        <v>97</v>
      </c>
      <c r="B58" s="400" t="s">
        <v>420</v>
      </c>
      <c r="C58" s="401"/>
      <c r="D58" s="402"/>
      <c r="F58" s="306">
        <v>11494</v>
      </c>
      <c r="G58" s="306">
        <v>1930</v>
      </c>
      <c r="H58" s="307">
        <v>631977</v>
      </c>
      <c r="I58" s="115">
        <f t="shared" si="5"/>
        <v>473224.37760000001</v>
      </c>
      <c r="J58" s="307"/>
      <c r="K58" s="308">
        <f t="shared" si="6"/>
        <v>1105201.3776</v>
      </c>
    </row>
    <row r="59" spans="1:11" ht="18" customHeight="1" x14ac:dyDescent="0.4">
      <c r="A59" s="1" t="s">
        <v>98</v>
      </c>
      <c r="B59" s="655" t="s">
        <v>421</v>
      </c>
      <c r="C59" s="653"/>
      <c r="D59" s="654"/>
      <c r="F59" s="306">
        <v>5072</v>
      </c>
      <c r="G59" s="306">
        <v>2781</v>
      </c>
      <c r="H59" s="307">
        <v>193434</v>
      </c>
      <c r="I59" s="115">
        <f t="shared" si="5"/>
        <v>144843.3792</v>
      </c>
      <c r="J59" s="307">
        <v>8527</v>
      </c>
      <c r="K59" s="308">
        <f t="shared" si="6"/>
        <v>329750.37919999997</v>
      </c>
    </row>
    <row r="60" spans="1:11" ht="18" customHeight="1" x14ac:dyDescent="0.4">
      <c r="A60" s="1" t="s">
        <v>99</v>
      </c>
      <c r="B60" s="400" t="s">
        <v>504</v>
      </c>
      <c r="C60" s="401"/>
      <c r="D60" s="402"/>
      <c r="F60" s="306">
        <v>8120</v>
      </c>
      <c r="G60" s="306">
        <v>2017</v>
      </c>
      <c r="H60" s="307">
        <v>306439</v>
      </c>
      <c r="I60" s="115">
        <f t="shared" si="5"/>
        <v>229461.5232</v>
      </c>
      <c r="J60" s="307"/>
      <c r="K60" s="308">
        <f t="shared" si="6"/>
        <v>535900.52319999994</v>
      </c>
    </row>
    <row r="61" spans="1:11" ht="18" customHeight="1" x14ac:dyDescent="0.4">
      <c r="A61" s="1" t="s">
        <v>100</v>
      </c>
      <c r="B61" s="400"/>
      <c r="C61" s="401"/>
      <c r="D61" s="402"/>
      <c r="F61" s="306"/>
      <c r="G61" s="306"/>
      <c r="H61" s="307"/>
      <c r="I61" s="115">
        <v>0</v>
      </c>
      <c r="J61" s="307"/>
      <c r="K61" s="308">
        <f t="shared" si="6"/>
        <v>0</v>
      </c>
    </row>
    <row r="62" spans="1:11" ht="18" customHeight="1" x14ac:dyDescent="0.4">
      <c r="A62" s="1" t="s">
        <v>101</v>
      </c>
      <c r="B62" s="655"/>
      <c r="C62" s="653"/>
      <c r="D62" s="654"/>
      <c r="F62" s="306"/>
      <c r="G62" s="306"/>
      <c r="H62" s="307"/>
      <c r="I62" s="115">
        <v>0</v>
      </c>
      <c r="J62" s="307"/>
      <c r="K62" s="308">
        <f t="shared" si="6"/>
        <v>0</v>
      </c>
    </row>
    <row r="63" spans="1:11" ht="18" customHeight="1" x14ac:dyDescent="0.4">
      <c r="A63" s="1"/>
      <c r="I63" s="403"/>
    </row>
    <row r="64" spans="1:11" ht="18" customHeight="1" x14ac:dyDescent="0.4">
      <c r="A64" s="1" t="s">
        <v>144</v>
      </c>
      <c r="B64" s="95" t="s">
        <v>145</v>
      </c>
      <c r="E64" s="95" t="s">
        <v>7</v>
      </c>
      <c r="F64" s="310">
        <f t="shared" ref="F64:K64" si="7">SUM(F53:F62)</f>
        <v>258676</v>
      </c>
      <c r="G64" s="310">
        <f t="shared" si="7"/>
        <v>55199</v>
      </c>
      <c r="H64" s="308">
        <f t="shared" si="7"/>
        <v>10150823</v>
      </c>
      <c r="I64" s="308">
        <f t="shared" si="7"/>
        <v>7600936.2624000004</v>
      </c>
      <c r="J64" s="308">
        <f t="shared" si="7"/>
        <v>8527</v>
      </c>
      <c r="K64" s="308">
        <f t="shared" si="7"/>
        <v>17743232.262400001</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49">
        <v>6339</v>
      </c>
      <c r="G68" s="313">
        <v>24</v>
      </c>
      <c r="H68" s="422">
        <v>260406</v>
      </c>
      <c r="I68" s="115">
        <f t="shared" ref="I68" si="8">H68*F$114</f>
        <v>194992.0128</v>
      </c>
      <c r="J68" s="319">
        <v>76155</v>
      </c>
      <c r="K68" s="308">
        <f>(H68+I68)-J68</f>
        <v>379243.01280000003</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6339</v>
      </c>
      <c r="G74" s="411">
        <f t="shared" si="9"/>
        <v>24</v>
      </c>
      <c r="H74" s="411">
        <f t="shared" si="9"/>
        <v>260406</v>
      </c>
      <c r="I74" s="412">
        <f t="shared" si="9"/>
        <v>194992.0128</v>
      </c>
      <c r="J74" s="411">
        <f t="shared" si="9"/>
        <v>76155</v>
      </c>
      <c r="K74" s="308">
        <f t="shared" si="9"/>
        <v>379243.01280000003</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85780</v>
      </c>
      <c r="I77" s="115">
        <v>0</v>
      </c>
      <c r="J77" s="307"/>
      <c r="K77" s="308">
        <f>(H77+I77)-J77</f>
        <v>85780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0</v>
      </c>
      <c r="G82" s="411">
        <f t="shared" si="10"/>
        <v>0</v>
      </c>
      <c r="H82" s="308">
        <f t="shared" si="10"/>
        <v>85780</v>
      </c>
      <c r="I82" s="308">
        <f t="shared" si="10"/>
        <v>0</v>
      </c>
      <c r="J82" s="308">
        <f t="shared" si="10"/>
        <v>0</v>
      </c>
      <c r="K82" s="308">
        <f t="shared" si="10"/>
        <v>85780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1">H86*F$114</f>
        <v>0</v>
      </c>
      <c r="J86" s="307"/>
      <c r="K86" s="308">
        <f t="shared" ref="K86:K96" si="12">(H86+I86)-J86</f>
        <v>0</v>
      </c>
    </row>
    <row r="87" spans="1:11" ht="18" customHeight="1" x14ac:dyDescent="0.4">
      <c r="A87" s="1" t="s">
        <v>114</v>
      </c>
      <c r="B87" s="94" t="s">
        <v>14</v>
      </c>
      <c r="F87" s="306"/>
      <c r="G87" s="306"/>
      <c r="H87" s="307"/>
      <c r="I87" s="115">
        <f t="shared" si="11"/>
        <v>0</v>
      </c>
      <c r="J87" s="307"/>
      <c r="K87" s="308">
        <f t="shared" si="12"/>
        <v>0</v>
      </c>
    </row>
    <row r="88" spans="1:11" ht="18" customHeight="1" x14ac:dyDescent="0.4">
      <c r="A88" s="1" t="s">
        <v>115</v>
      </c>
      <c r="B88" s="94" t="s">
        <v>116</v>
      </c>
      <c r="F88" s="306">
        <v>12</v>
      </c>
      <c r="G88" s="306">
        <v>365</v>
      </c>
      <c r="H88" s="307">
        <v>20979</v>
      </c>
      <c r="I88" s="115">
        <f t="shared" si="11"/>
        <v>15709.075200000001</v>
      </c>
      <c r="J88" s="307">
        <v>25000</v>
      </c>
      <c r="K88" s="308">
        <f t="shared" si="12"/>
        <v>11688.075199999999</v>
      </c>
    </row>
    <row r="89" spans="1:11" ht="18" customHeight="1" x14ac:dyDescent="0.4">
      <c r="A89" s="1" t="s">
        <v>117</v>
      </c>
      <c r="B89" s="94" t="s">
        <v>58</v>
      </c>
      <c r="F89" s="306"/>
      <c r="G89" s="306"/>
      <c r="H89" s="307"/>
      <c r="I89" s="115">
        <f t="shared" si="11"/>
        <v>0</v>
      </c>
      <c r="J89" s="307"/>
      <c r="K89" s="308">
        <f t="shared" si="12"/>
        <v>0</v>
      </c>
    </row>
    <row r="90" spans="1:11" ht="18" customHeight="1" x14ac:dyDescent="0.4">
      <c r="A90" s="1" t="s">
        <v>118</v>
      </c>
      <c r="B90" s="635" t="s">
        <v>59</v>
      </c>
      <c r="C90" s="636"/>
      <c r="F90" s="306"/>
      <c r="G90" s="306"/>
      <c r="H90" s="307"/>
      <c r="I90" s="115">
        <f t="shared" si="11"/>
        <v>0</v>
      </c>
      <c r="J90" s="307"/>
      <c r="K90" s="308">
        <f t="shared" si="12"/>
        <v>0</v>
      </c>
    </row>
    <row r="91" spans="1:11" ht="18" customHeight="1" x14ac:dyDescent="0.4">
      <c r="A91" s="1" t="s">
        <v>119</v>
      </c>
      <c r="B91" s="94" t="s">
        <v>60</v>
      </c>
      <c r="F91" s="306"/>
      <c r="G91" s="306"/>
      <c r="H91" s="307"/>
      <c r="I91" s="115">
        <f t="shared" si="11"/>
        <v>0</v>
      </c>
      <c r="J91" s="307"/>
      <c r="K91" s="308">
        <f t="shared" si="12"/>
        <v>0</v>
      </c>
    </row>
    <row r="92" spans="1:11" ht="18" customHeight="1" x14ac:dyDescent="0.4">
      <c r="A92" s="1" t="s">
        <v>120</v>
      </c>
      <c r="B92" s="94" t="s">
        <v>121</v>
      </c>
      <c r="F92" s="107"/>
      <c r="G92" s="107"/>
      <c r="H92" s="108"/>
      <c r="I92" s="115">
        <f t="shared" si="11"/>
        <v>0</v>
      </c>
      <c r="J92" s="108"/>
      <c r="K92" s="308">
        <f t="shared" si="12"/>
        <v>0</v>
      </c>
    </row>
    <row r="93" spans="1:11" ht="18" customHeight="1" x14ac:dyDescent="0.4">
      <c r="A93" s="1" t="s">
        <v>122</v>
      </c>
      <c r="B93" s="94" t="s">
        <v>123</v>
      </c>
      <c r="F93" s="306"/>
      <c r="G93" s="306"/>
      <c r="H93" s="307"/>
      <c r="I93" s="115">
        <f t="shared" si="11"/>
        <v>0</v>
      </c>
      <c r="J93" s="307"/>
      <c r="K93" s="308">
        <f t="shared" si="12"/>
        <v>0</v>
      </c>
    </row>
    <row r="94" spans="1:11" ht="18" customHeight="1" x14ac:dyDescent="0.4">
      <c r="A94" s="1" t="s">
        <v>124</v>
      </c>
      <c r="B94" s="655"/>
      <c r="C94" s="653"/>
      <c r="D94" s="654"/>
      <c r="F94" s="306"/>
      <c r="G94" s="306"/>
      <c r="H94" s="307"/>
      <c r="I94" s="115">
        <f t="shared" si="11"/>
        <v>0</v>
      </c>
      <c r="J94" s="307"/>
      <c r="K94" s="308">
        <f t="shared" si="12"/>
        <v>0</v>
      </c>
    </row>
    <row r="95" spans="1:11" ht="18" customHeight="1" x14ac:dyDescent="0.4">
      <c r="A95" s="1" t="s">
        <v>125</v>
      </c>
      <c r="B95" s="655"/>
      <c r="C95" s="653"/>
      <c r="D95" s="654"/>
      <c r="F95" s="306"/>
      <c r="G95" s="306"/>
      <c r="H95" s="307"/>
      <c r="I95" s="115">
        <f t="shared" si="11"/>
        <v>0</v>
      </c>
      <c r="J95" s="307"/>
      <c r="K95" s="308">
        <f t="shared" si="12"/>
        <v>0</v>
      </c>
    </row>
    <row r="96" spans="1:11" ht="18" customHeight="1" x14ac:dyDescent="0.4">
      <c r="A96" s="1" t="s">
        <v>126</v>
      </c>
      <c r="B96" s="655"/>
      <c r="C96" s="653"/>
      <c r="D96" s="654"/>
      <c r="F96" s="306"/>
      <c r="G96" s="306"/>
      <c r="H96" s="307"/>
      <c r="I96" s="115">
        <f t="shared" si="11"/>
        <v>0</v>
      </c>
      <c r="J96" s="307"/>
      <c r="K96" s="308">
        <f t="shared" si="12"/>
        <v>0</v>
      </c>
    </row>
    <row r="97" spans="1:11" ht="18" customHeight="1" x14ac:dyDescent="0.4">
      <c r="A97" s="1"/>
      <c r="B97" s="94"/>
    </row>
    <row r="98" spans="1:11" ht="18" customHeight="1" x14ac:dyDescent="0.4">
      <c r="A98" s="98" t="s">
        <v>150</v>
      </c>
      <c r="B98" s="95" t="s">
        <v>151</v>
      </c>
      <c r="E98" s="95" t="s">
        <v>7</v>
      </c>
      <c r="F98" s="310">
        <f t="shared" ref="F98:K98" si="13">SUM(F86:F96)</f>
        <v>12</v>
      </c>
      <c r="G98" s="310">
        <f t="shared" si="13"/>
        <v>365</v>
      </c>
      <c r="H98" s="310">
        <f t="shared" si="13"/>
        <v>20979</v>
      </c>
      <c r="I98" s="310">
        <f t="shared" si="13"/>
        <v>15709.075200000001</v>
      </c>
      <c r="J98" s="310">
        <f t="shared" si="13"/>
        <v>25000</v>
      </c>
      <c r="K98" s="310">
        <f t="shared" si="13"/>
        <v>11688.075199999999</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192</v>
      </c>
      <c r="G102" s="306"/>
      <c r="H102" s="307">
        <v>14921</v>
      </c>
      <c r="I102" s="115">
        <f>H102*F$114</f>
        <v>11172.844800000001</v>
      </c>
      <c r="J102" s="307"/>
      <c r="K102" s="308">
        <f>(H102+I102)-J102</f>
        <v>26093.844799999999</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192</v>
      </c>
      <c r="G108" s="310">
        <f t="shared" si="14"/>
        <v>0</v>
      </c>
      <c r="H108" s="308">
        <f t="shared" si="14"/>
        <v>14921</v>
      </c>
      <c r="I108" s="308">
        <f t="shared" si="14"/>
        <v>11172.844800000001</v>
      </c>
      <c r="J108" s="308">
        <f t="shared" si="14"/>
        <v>0</v>
      </c>
      <c r="K108" s="308">
        <f t="shared" si="14"/>
        <v>26093.844799999999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7159000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0.74880000000000002</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357118000</v>
      </c>
    </row>
    <row r="118" spans="1:6" ht="18" customHeight="1" x14ac:dyDescent="0.4">
      <c r="A118" s="1" t="s">
        <v>173</v>
      </c>
      <c r="B118" t="s">
        <v>18</v>
      </c>
      <c r="F118" s="307">
        <v>20465000</v>
      </c>
    </row>
    <row r="119" spans="1:6" ht="18" customHeight="1" x14ac:dyDescent="0.4">
      <c r="A119" s="1" t="s">
        <v>174</v>
      </c>
      <c r="B119" s="95" t="s">
        <v>19</v>
      </c>
      <c r="F119" s="308">
        <f>SUM(F117:F118)</f>
        <v>377583000</v>
      </c>
    </row>
    <row r="120" spans="1:6" ht="18" customHeight="1" x14ac:dyDescent="0.4">
      <c r="A120" s="1"/>
      <c r="B120" s="95"/>
    </row>
    <row r="121" spans="1:6" ht="18" customHeight="1" x14ac:dyDescent="0.4">
      <c r="A121" s="1" t="s">
        <v>167</v>
      </c>
      <c r="B121" s="95" t="s">
        <v>36</v>
      </c>
      <c r="F121" s="307">
        <v>356515000</v>
      </c>
    </row>
    <row r="122" spans="1:6" ht="18" customHeight="1" x14ac:dyDescent="0.4">
      <c r="A122" s="1"/>
    </row>
    <row r="123" spans="1:6" ht="18" customHeight="1" x14ac:dyDescent="0.4">
      <c r="A123" s="1" t="s">
        <v>175</v>
      </c>
      <c r="B123" s="95" t="s">
        <v>20</v>
      </c>
      <c r="F123" s="307">
        <f>F119-F121</f>
        <v>21068000</v>
      </c>
    </row>
    <row r="124" spans="1:6" ht="18" customHeight="1" x14ac:dyDescent="0.4">
      <c r="A124" s="1"/>
    </row>
    <row r="125" spans="1:6" ht="18" customHeight="1" x14ac:dyDescent="0.4">
      <c r="A125" s="1" t="s">
        <v>176</v>
      </c>
      <c r="B125" s="95" t="s">
        <v>21</v>
      </c>
      <c r="F125" s="307">
        <v>-3608000</v>
      </c>
    </row>
    <row r="126" spans="1:6" ht="18" customHeight="1" x14ac:dyDescent="0.4">
      <c r="A126" s="1"/>
    </row>
    <row r="127" spans="1:6" ht="18" customHeight="1" x14ac:dyDescent="0.4">
      <c r="A127" s="1" t="s">
        <v>177</v>
      </c>
      <c r="B127" s="95" t="s">
        <v>22</v>
      </c>
      <c r="F127" s="307">
        <f>F123+F125</f>
        <v>17460000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5">SUM(F131:F135)</f>
        <v>0</v>
      </c>
      <c r="G137" s="310">
        <f t="shared" si="15"/>
        <v>0</v>
      </c>
      <c r="H137" s="308">
        <f t="shared" si="15"/>
        <v>0</v>
      </c>
      <c r="I137" s="308">
        <f t="shared" si="15"/>
        <v>0</v>
      </c>
      <c r="J137" s="308">
        <f t="shared" si="15"/>
        <v>0</v>
      </c>
      <c r="K137" s="308">
        <f t="shared" si="15"/>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69939</v>
      </c>
      <c r="G141" s="109">
        <f t="shared" si="16"/>
        <v>24724</v>
      </c>
      <c r="H141" s="109">
        <f t="shared" si="16"/>
        <v>2584580</v>
      </c>
      <c r="I141" s="109">
        <f t="shared" si="16"/>
        <v>1935333.504</v>
      </c>
      <c r="J141" s="109">
        <f t="shared" si="16"/>
        <v>542234</v>
      </c>
      <c r="K141" s="109">
        <f t="shared" si="16"/>
        <v>3977679.5039999997</v>
      </c>
    </row>
    <row r="142" spans="1:11" ht="18" customHeight="1" x14ac:dyDescent="0.4">
      <c r="A142" s="1" t="s">
        <v>142</v>
      </c>
      <c r="B142" s="95" t="s">
        <v>65</v>
      </c>
      <c r="F142" s="109">
        <f t="shared" ref="F142:K142" si="17">F49</f>
        <v>0</v>
      </c>
      <c r="G142" s="109">
        <f t="shared" si="17"/>
        <v>0</v>
      </c>
      <c r="H142" s="109">
        <f t="shared" si="17"/>
        <v>50002</v>
      </c>
      <c r="I142" s="109">
        <f t="shared" si="17"/>
        <v>0</v>
      </c>
      <c r="J142" s="109">
        <f t="shared" si="17"/>
        <v>0</v>
      </c>
      <c r="K142" s="109">
        <f t="shared" si="17"/>
        <v>50002</v>
      </c>
    </row>
    <row r="143" spans="1:11" ht="18" customHeight="1" x14ac:dyDescent="0.4">
      <c r="A143" s="1" t="s">
        <v>144</v>
      </c>
      <c r="B143" s="95" t="s">
        <v>66</v>
      </c>
      <c r="F143" s="109">
        <f t="shared" ref="F143:K143" si="18">F64</f>
        <v>258676</v>
      </c>
      <c r="G143" s="109">
        <f t="shared" si="18"/>
        <v>55199</v>
      </c>
      <c r="H143" s="109">
        <f t="shared" si="18"/>
        <v>10150823</v>
      </c>
      <c r="I143" s="109">
        <f t="shared" si="18"/>
        <v>7600936.2624000004</v>
      </c>
      <c r="J143" s="109">
        <f t="shared" si="18"/>
        <v>8527</v>
      </c>
      <c r="K143" s="109">
        <f t="shared" si="18"/>
        <v>17743232.262400001</v>
      </c>
    </row>
    <row r="144" spans="1:11" ht="18" customHeight="1" x14ac:dyDescent="0.4">
      <c r="A144" s="1" t="s">
        <v>146</v>
      </c>
      <c r="B144" s="95" t="s">
        <v>67</v>
      </c>
      <c r="F144" s="109">
        <f t="shared" ref="F144:K144" si="19">F74</f>
        <v>6339</v>
      </c>
      <c r="G144" s="109">
        <f t="shared" si="19"/>
        <v>24</v>
      </c>
      <c r="H144" s="109">
        <f t="shared" si="19"/>
        <v>260406</v>
      </c>
      <c r="I144" s="109">
        <f t="shared" si="19"/>
        <v>194992.0128</v>
      </c>
      <c r="J144" s="109">
        <f t="shared" si="19"/>
        <v>76155</v>
      </c>
      <c r="K144" s="109">
        <f t="shared" si="19"/>
        <v>379243.01280000003</v>
      </c>
    </row>
    <row r="145" spans="1:11" ht="18" customHeight="1" x14ac:dyDescent="0.4">
      <c r="A145" s="1" t="s">
        <v>148</v>
      </c>
      <c r="B145" s="95" t="s">
        <v>68</v>
      </c>
      <c r="F145" s="109">
        <f t="shared" ref="F145:K145" si="20">F82</f>
        <v>0</v>
      </c>
      <c r="G145" s="109">
        <f t="shared" si="20"/>
        <v>0</v>
      </c>
      <c r="H145" s="109">
        <f t="shared" si="20"/>
        <v>85780</v>
      </c>
      <c r="I145" s="109">
        <f t="shared" si="20"/>
        <v>0</v>
      </c>
      <c r="J145" s="109">
        <f t="shared" si="20"/>
        <v>0</v>
      </c>
      <c r="K145" s="109">
        <f t="shared" si="20"/>
        <v>85780</v>
      </c>
    </row>
    <row r="146" spans="1:11" ht="18" customHeight="1" x14ac:dyDescent="0.4">
      <c r="A146" s="1" t="s">
        <v>150</v>
      </c>
      <c r="B146" s="95" t="s">
        <v>69</v>
      </c>
      <c r="F146" s="109">
        <f t="shared" ref="F146:K146" si="21">F98</f>
        <v>12</v>
      </c>
      <c r="G146" s="109">
        <f t="shared" si="21"/>
        <v>365</v>
      </c>
      <c r="H146" s="109">
        <f t="shared" si="21"/>
        <v>20979</v>
      </c>
      <c r="I146" s="109">
        <f t="shared" si="21"/>
        <v>15709.075200000001</v>
      </c>
      <c r="J146" s="109">
        <f t="shared" si="21"/>
        <v>25000</v>
      </c>
      <c r="K146" s="109">
        <f t="shared" si="21"/>
        <v>11688.075199999999</v>
      </c>
    </row>
    <row r="147" spans="1:11" ht="18" customHeight="1" x14ac:dyDescent="0.4">
      <c r="A147" s="1" t="s">
        <v>153</v>
      </c>
      <c r="B147" s="95" t="s">
        <v>61</v>
      </c>
      <c r="F147" s="310">
        <f t="shared" ref="F147:K147" si="22">F108</f>
        <v>192</v>
      </c>
      <c r="G147" s="310">
        <f t="shared" si="22"/>
        <v>0</v>
      </c>
      <c r="H147" s="310">
        <f t="shared" si="22"/>
        <v>14921</v>
      </c>
      <c r="I147" s="310">
        <f t="shared" si="22"/>
        <v>11172.844800000001</v>
      </c>
      <c r="J147" s="310">
        <f t="shared" si="22"/>
        <v>0</v>
      </c>
      <c r="K147" s="310">
        <f t="shared" si="22"/>
        <v>26093.844799999999</v>
      </c>
    </row>
    <row r="148" spans="1:11" ht="18" customHeight="1" x14ac:dyDescent="0.4">
      <c r="A148" s="1" t="s">
        <v>155</v>
      </c>
      <c r="B148" s="95" t="s">
        <v>70</v>
      </c>
      <c r="F148" s="110" t="s">
        <v>73</v>
      </c>
      <c r="G148" s="110" t="s">
        <v>73</v>
      </c>
      <c r="H148" s="111" t="s">
        <v>73</v>
      </c>
      <c r="I148" s="111" t="s">
        <v>73</v>
      </c>
      <c r="J148" s="111" t="s">
        <v>73</v>
      </c>
      <c r="K148" s="106">
        <f>F111</f>
        <v>7159000</v>
      </c>
    </row>
    <row r="149" spans="1:11" ht="18" customHeight="1" x14ac:dyDescent="0.4">
      <c r="A149" s="1" t="s">
        <v>163</v>
      </c>
      <c r="B149" s="95" t="s">
        <v>71</v>
      </c>
      <c r="F149" s="310">
        <f t="shared" ref="F149:K149" si="23">F137</f>
        <v>0</v>
      </c>
      <c r="G149" s="310">
        <f t="shared" si="23"/>
        <v>0</v>
      </c>
      <c r="H149" s="310">
        <f t="shared" si="23"/>
        <v>0</v>
      </c>
      <c r="I149" s="310">
        <f t="shared" si="23"/>
        <v>0</v>
      </c>
      <c r="J149" s="310">
        <f t="shared" si="23"/>
        <v>0</v>
      </c>
      <c r="K149" s="310">
        <f t="shared" si="23"/>
        <v>0</v>
      </c>
    </row>
    <row r="150" spans="1:11" ht="18" customHeight="1" x14ac:dyDescent="0.4">
      <c r="A150" s="1" t="s">
        <v>185</v>
      </c>
      <c r="B150" s="95" t="s">
        <v>186</v>
      </c>
      <c r="F150" s="110" t="s">
        <v>73</v>
      </c>
      <c r="G150" s="110" t="s">
        <v>73</v>
      </c>
      <c r="H150" s="310">
        <f>H18</f>
        <v>6779382.1399999997</v>
      </c>
      <c r="I150" s="310">
        <f>I18</f>
        <v>0</v>
      </c>
      <c r="J150" s="310">
        <f>J18</f>
        <v>5618549.5800000001</v>
      </c>
      <c r="K150" s="310">
        <f>K18</f>
        <v>1160832.5599999996</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335158</v>
      </c>
      <c r="G152" s="114">
        <f t="shared" si="24"/>
        <v>80312</v>
      </c>
      <c r="H152" s="114">
        <f t="shared" si="24"/>
        <v>19946873.140000001</v>
      </c>
      <c r="I152" s="114">
        <f t="shared" si="24"/>
        <v>9758143.6992000006</v>
      </c>
      <c r="J152" s="114">
        <f t="shared" si="24"/>
        <v>6270465.5800000001</v>
      </c>
      <c r="K152" s="114">
        <f t="shared" si="24"/>
        <v>30593551.259199999</v>
      </c>
    </row>
    <row r="154" spans="1:11" ht="18" customHeight="1" x14ac:dyDescent="0.4">
      <c r="A154" s="98" t="s">
        <v>168</v>
      </c>
      <c r="B154" s="95" t="s">
        <v>28</v>
      </c>
      <c r="F154" s="318">
        <f>K152/F121</f>
        <v>8.5812802432436219E-2</v>
      </c>
    </row>
    <row r="155" spans="1:11" ht="18" customHeight="1" x14ac:dyDescent="0.4">
      <c r="A155" s="98" t="s">
        <v>169</v>
      </c>
      <c r="B155" s="95" t="s">
        <v>72</v>
      </c>
      <c r="F155" s="318">
        <f>K152/F127</f>
        <v>1.7522079758991982</v>
      </c>
      <c r="G155" s="95"/>
    </row>
    <row r="156" spans="1:11" ht="18" customHeight="1" x14ac:dyDescent="0.4">
      <c r="G156" s="95"/>
    </row>
  </sheetData>
  <mergeCells count="34">
    <mergeCell ref="B103:C103"/>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96:D96"/>
    <mergeCell ref="B95:D95"/>
    <mergeCell ref="B57:D57"/>
    <mergeCell ref="B94:D94"/>
    <mergeCell ref="B52:C52"/>
    <mergeCell ref="B90:C90"/>
    <mergeCell ref="B53:D53"/>
    <mergeCell ref="B55:D55"/>
    <mergeCell ref="B56:D56"/>
    <mergeCell ref="B59:D59"/>
    <mergeCell ref="B62:D62"/>
    <mergeCell ref="B134:D134"/>
    <mergeCell ref="B135:D135"/>
    <mergeCell ref="B133:D133"/>
    <mergeCell ref="B104:D104"/>
    <mergeCell ref="B105:D105"/>
    <mergeCell ref="B106:D106"/>
  </mergeCells>
  <hyperlinks>
    <hyperlink ref="C11" r:id="rId1" xr:uid="{5B54AA7C-75BF-451E-A398-BA72D41DFF97}"/>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P156"/>
  <sheetViews>
    <sheetView showGridLines="0" topLeftCell="A136" zoomScale="70" zoomScaleNormal="70" zoomScaleSheetLayoutView="50" workbookViewId="0">
      <selection activeCell="H153" sqref="H153"/>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 min="13" max="13" width="15.27734375" customWidth="1"/>
    <col min="14" max="14" width="13.27734375" customWidth="1"/>
    <col min="15" max="15" width="12" bestFit="1" customWidth="1"/>
    <col min="16" max="16" width="10.83203125" bestFit="1"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608</v>
      </c>
      <c r="D5" s="666"/>
      <c r="E5" s="666"/>
      <c r="F5" s="666"/>
      <c r="G5" s="667"/>
    </row>
    <row r="6" spans="1:11" ht="18" customHeight="1" x14ac:dyDescent="0.4">
      <c r="B6" s="1" t="s">
        <v>3</v>
      </c>
      <c r="C6" s="683">
        <v>210006</v>
      </c>
      <c r="D6" s="684"/>
      <c r="E6" s="684"/>
      <c r="F6" s="684"/>
      <c r="G6" s="685"/>
    </row>
    <row r="7" spans="1:11" ht="18" customHeight="1" x14ac:dyDescent="0.4">
      <c r="B7" s="1" t="s">
        <v>4</v>
      </c>
      <c r="C7" s="686">
        <v>787</v>
      </c>
      <c r="D7" s="687"/>
      <c r="E7" s="687"/>
      <c r="F7" s="687"/>
      <c r="G7" s="688"/>
    </row>
    <row r="9" spans="1:11" ht="18" customHeight="1" x14ac:dyDescent="0.4">
      <c r="B9" s="1" t="s">
        <v>1</v>
      </c>
      <c r="C9" s="663" t="s">
        <v>609</v>
      </c>
      <c r="D9" s="666"/>
      <c r="E9" s="666"/>
      <c r="F9" s="666"/>
      <c r="G9" s="667"/>
    </row>
    <row r="10" spans="1:11" ht="18" customHeight="1" x14ac:dyDescent="0.4">
      <c r="B10" s="1" t="s">
        <v>2</v>
      </c>
      <c r="C10" s="660" t="s">
        <v>672</v>
      </c>
      <c r="D10" s="661"/>
      <c r="E10" s="661"/>
      <c r="F10" s="661"/>
      <c r="G10" s="662"/>
    </row>
    <row r="11" spans="1:11" ht="18" customHeight="1" x14ac:dyDescent="0.4">
      <c r="B11" s="1" t="s">
        <v>32</v>
      </c>
      <c r="C11" s="682" t="s">
        <v>673</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3" ht="18" customHeight="1" x14ac:dyDescent="0.4">
      <c r="A17" s="98" t="s">
        <v>184</v>
      </c>
      <c r="B17" s="95" t="s">
        <v>182</v>
      </c>
    </row>
    <row r="18" spans="1:13" ht="18" customHeight="1" x14ac:dyDescent="0.4">
      <c r="A18" s="1" t="s">
        <v>185</v>
      </c>
      <c r="B18" s="94" t="s">
        <v>183</v>
      </c>
      <c r="F18" s="306" t="s">
        <v>73</v>
      </c>
      <c r="G18" s="306" t="s">
        <v>73</v>
      </c>
      <c r="H18" s="307">
        <v>1995609.51</v>
      </c>
      <c r="I18" s="115">
        <v>0</v>
      </c>
      <c r="J18" s="307">
        <v>1653901.6</v>
      </c>
      <c r="K18" s="308">
        <f>(H18+I18)-J18</f>
        <v>341707.90999999992</v>
      </c>
    </row>
    <row r="19" spans="1:13" ht="45" customHeight="1" x14ac:dyDescent="0.4">
      <c r="A19" s="96" t="s">
        <v>8</v>
      </c>
      <c r="B19" s="97"/>
      <c r="C19" s="97"/>
      <c r="D19" s="97"/>
      <c r="E19" s="97"/>
      <c r="F19" s="99" t="s">
        <v>9</v>
      </c>
      <c r="G19" s="99" t="s">
        <v>37</v>
      </c>
      <c r="H19" s="99" t="s">
        <v>29</v>
      </c>
      <c r="I19" s="99" t="s">
        <v>30</v>
      </c>
      <c r="J19" s="99" t="s">
        <v>33</v>
      </c>
      <c r="K19" s="99" t="s">
        <v>34</v>
      </c>
    </row>
    <row r="20" spans="1:13" ht="18" customHeight="1" x14ac:dyDescent="0.4">
      <c r="A20" s="98" t="s">
        <v>74</v>
      </c>
      <c r="B20" s="95" t="s">
        <v>41</v>
      </c>
    </row>
    <row r="21" spans="1:13" ht="18" customHeight="1" x14ac:dyDescent="0.4">
      <c r="A21" s="1" t="s">
        <v>75</v>
      </c>
      <c r="B21" s="94" t="s">
        <v>42</v>
      </c>
      <c r="F21" s="306">
        <v>1430.34</v>
      </c>
      <c r="G21" s="306">
        <v>80089.5</v>
      </c>
      <c r="H21" s="307">
        <v>46091.4</v>
      </c>
      <c r="I21" s="115">
        <f t="shared" ref="I21:I34" si="0">H21*F$114</f>
        <v>33646.722000000002</v>
      </c>
      <c r="J21" s="307">
        <v>4958.7</v>
      </c>
      <c r="K21" s="308">
        <f t="shared" ref="K21:K34" si="1">(H21+I21)-J21</f>
        <v>74779.422000000006</v>
      </c>
      <c r="M21" s="423"/>
    </row>
    <row r="22" spans="1:13" ht="18" customHeight="1" x14ac:dyDescent="0.4">
      <c r="A22" s="1" t="s">
        <v>76</v>
      </c>
      <c r="B22" t="s">
        <v>6</v>
      </c>
      <c r="F22" s="306">
        <v>125.7</v>
      </c>
      <c r="G22" s="306">
        <v>561.29999999999995</v>
      </c>
      <c r="H22" s="307">
        <v>4922.3999999999996</v>
      </c>
      <c r="I22" s="115">
        <f t="shared" si="0"/>
        <v>3593.3519999999999</v>
      </c>
      <c r="J22" s="307">
        <v>0</v>
      </c>
      <c r="K22" s="308">
        <f t="shared" si="1"/>
        <v>8515.7520000000004</v>
      </c>
    </row>
    <row r="23" spans="1:13" ht="18" customHeight="1" x14ac:dyDescent="0.4">
      <c r="A23" s="1" t="s">
        <v>77</v>
      </c>
      <c r="B23" t="s">
        <v>43</v>
      </c>
      <c r="F23" s="306">
        <v>228.24</v>
      </c>
      <c r="G23" s="306">
        <v>91.2</v>
      </c>
      <c r="H23" s="307">
        <v>10707.9</v>
      </c>
      <c r="I23" s="115">
        <f t="shared" si="0"/>
        <v>7816.7669999999998</v>
      </c>
      <c r="J23" s="307">
        <v>1026</v>
      </c>
      <c r="K23" s="308">
        <f t="shared" si="1"/>
        <v>17498.667000000001</v>
      </c>
    </row>
    <row r="24" spans="1:13" ht="18" customHeight="1" x14ac:dyDescent="0.4">
      <c r="A24" s="1" t="s">
        <v>78</v>
      </c>
      <c r="B24" t="s">
        <v>44</v>
      </c>
      <c r="F24" s="306">
        <v>2075.64</v>
      </c>
      <c r="G24" s="306">
        <v>631.79999999999995</v>
      </c>
      <c r="H24" s="307">
        <v>316633.8</v>
      </c>
      <c r="I24" s="115">
        <f t="shared" si="0"/>
        <v>231142.674</v>
      </c>
      <c r="J24" s="307">
        <v>121383.6</v>
      </c>
      <c r="K24" s="308">
        <f t="shared" si="1"/>
        <v>426392.87399999995</v>
      </c>
    </row>
    <row r="25" spans="1:13" ht="18" customHeight="1" x14ac:dyDescent="0.4">
      <c r="A25" s="1" t="s">
        <v>79</v>
      </c>
      <c r="B25" t="s">
        <v>5</v>
      </c>
      <c r="F25" s="306">
        <v>1221.75</v>
      </c>
      <c r="G25" s="306">
        <v>2490.9</v>
      </c>
      <c r="H25" s="307">
        <v>19349.099999999999</v>
      </c>
      <c r="I25" s="115">
        <f t="shared" si="0"/>
        <v>14124.842999999999</v>
      </c>
      <c r="J25" s="307">
        <v>0</v>
      </c>
      <c r="K25" s="308">
        <f t="shared" si="1"/>
        <v>33473.942999999999</v>
      </c>
    </row>
    <row r="26" spans="1:13" ht="18" customHeight="1" x14ac:dyDescent="0.4">
      <c r="A26" s="1" t="s">
        <v>80</v>
      </c>
      <c r="B26" t="s">
        <v>45</v>
      </c>
      <c r="F26" s="306"/>
      <c r="G26" s="306"/>
      <c r="H26" s="307"/>
      <c r="I26" s="115">
        <f t="shared" si="0"/>
        <v>0</v>
      </c>
      <c r="J26" s="307"/>
      <c r="K26" s="308">
        <f t="shared" si="1"/>
        <v>0</v>
      </c>
    </row>
    <row r="27" spans="1:13" ht="18" customHeight="1" x14ac:dyDescent="0.4">
      <c r="A27" s="1" t="s">
        <v>81</v>
      </c>
      <c r="B27" t="s">
        <v>455</v>
      </c>
      <c r="F27" s="306"/>
      <c r="G27" s="306"/>
      <c r="H27" s="307"/>
      <c r="I27" s="115">
        <f t="shared" si="0"/>
        <v>0</v>
      </c>
      <c r="J27" s="307"/>
      <c r="K27" s="308">
        <f t="shared" si="1"/>
        <v>0</v>
      </c>
    </row>
    <row r="28" spans="1:13" ht="18" customHeight="1" x14ac:dyDescent="0.4">
      <c r="A28" s="1" t="s">
        <v>82</v>
      </c>
      <c r="B28" t="s">
        <v>47</v>
      </c>
      <c r="F28" s="306">
        <v>634.59</v>
      </c>
      <c r="G28" s="306">
        <v>14.1</v>
      </c>
      <c r="H28" s="307">
        <v>15429.9</v>
      </c>
      <c r="I28" s="115">
        <f t="shared" si="0"/>
        <v>11263.826999999999</v>
      </c>
      <c r="J28" s="307">
        <v>2848.5</v>
      </c>
      <c r="K28" s="308">
        <f t="shared" si="1"/>
        <v>23845.226999999999</v>
      </c>
    </row>
    <row r="29" spans="1:13" ht="18" customHeight="1" x14ac:dyDescent="0.4">
      <c r="A29" s="1" t="s">
        <v>83</v>
      </c>
      <c r="B29" t="s">
        <v>48</v>
      </c>
      <c r="F29" s="306">
        <v>670.74</v>
      </c>
      <c r="G29" s="306">
        <v>1000.2</v>
      </c>
      <c r="H29" s="307">
        <v>109599</v>
      </c>
      <c r="I29" s="115">
        <f t="shared" si="0"/>
        <v>80007.27</v>
      </c>
      <c r="J29" s="307"/>
      <c r="K29" s="308">
        <f t="shared" si="1"/>
        <v>189606.27000000002</v>
      </c>
    </row>
    <row r="30" spans="1:13" ht="18" customHeight="1" x14ac:dyDescent="0.4">
      <c r="A30" s="1" t="s">
        <v>84</v>
      </c>
      <c r="B30" s="630"/>
      <c r="C30" s="631"/>
      <c r="D30" s="632"/>
      <c r="F30" s="306"/>
      <c r="G30" s="306"/>
      <c r="H30" s="307"/>
      <c r="I30" s="115">
        <f t="shared" si="0"/>
        <v>0</v>
      </c>
      <c r="J30" s="307"/>
      <c r="K30" s="308">
        <f t="shared" si="1"/>
        <v>0</v>
      </c>
    </row>
    <row r="31" spans="1:13" ht="18" customHeight="1" x14ac:dyDescent="0.4">
      <c r="A31" s="1" t="s">
        <v>133</v>
      </c>
      <c r="B31" s="630"/>
      <c r="C31" s="631"/>
      <c r="D31" s="632"/>
      <c r="F31" s="306"/>
      <c r="G31" s="306"/>
      <c r="H31" s="307"/>
      <c r="I31" s="115">
        <f t="shared" si="0"/>
        <v>0</v>
      </c>
      <c r="J31" s="307"/>
      <c r="K31" s="308">
        <f t="shared" si="1"/>
        <v>0</v>
      </c>
    </row>
    <row r="32" spans="1:13" ht="18" customHeight="1" x14ac:dyDescent="0.4">
      <c r="A32" s="1" t="s">
        <v>134</v>
      </c>
      <c r="B32" s="394"/>
      <c r="C32" s="395"/>
      <c r="D32" s="396"/>
      <c r="F32" s="306"/>
      <c r="G32" s="309" t="s">
        <v>85</v>
      </c>
      <c r="H32" s="307"/>
      <c r="I32" s="115">
        <f t="shared" si="0"/>
        <v>0</v>
      </c>
      <c r="J32" s="307"/>
      <c r="K32" s="308">
        <f t="shared" si="1"/>
        <v>0</v>
      </c>
    </row>
    <row r="33" spans="1:13" ht="18" customHeight="1" x14ac:dyDescent="0.4">
      <c r="A33" s="1" t="s">
        <v>135</v>
      </c>
      <c r="B33" s="394"/>
      <c r="C33" s="395"/>
      <c r="D33" s="396"/>
      <c r="F33" s="306"/>
      <c r="G33" s="309" t="s">
        <v>85</v>
      </c>
      <c r="H33" s="307"/>
      <c r="I33" s="115">
        <f t="shared" si="0"/>
        <v>0</v>
      </c>
      <c r="J33" s="307"/>
      <c r="K33" s="308">
        <f t="shared" si="1"/>
        <v>0</v>
      </c>
    </row>
    <row r="34" spans="1:13" ht="18" customHeight="1" x14ac:dyDescent="0.4">
      <c r="A34" s="1" t="s">
        <v>136</v>
      </c>
      <c r="B34" s="630"/>
      <c r="C34" s="631"/>
      <c r="D34" s="632"/>
      <c r="F34" s="306"/>
      <c r="G34" s="309" t="s">
        <v>85</v>
      </c>
      <c r="H34" s="307"/>
      <c r="I34" s="115">
        <f t="shared" si="0"/>
        <v>0</v>
      </c>
      <c r="J34" s="307"/>
      <c r="K34" s="308">
        <f t="shared" si="1"/>
        <v>0</v>
      </c>
    </row>
    <row r="35" spans="1:13" ht="18" customHeight="1" x14ac:dyDescent="0.4">
      <c r="K35" s="397"/>
    </row>
    <row r="36" spans="1:13" ht="18" customHeight="1" x14ac:dyDescent="0.4">
      <c r="A36" s="98" t="s">
        <v>137</v>
      </c>
      <c r="B36" s="95" t="s">
        <v>138</v>
      </c>
      <c r="E36" s="95" t="s">
        <v>7</v>
      </c>
      <c r="F36" s="310">
        <f t="shared" ref="F36:K36" si="2">SUM(F21:F34)</f>
        <v>6387</v>
      </c>
      <c r="G36" s="310">
        <f t="shared" si="2"/>
        <v>84879</v>
      </c>
      <c r="H36" s="340">
        <f t="shared" si="2"/>
        <v>522733.5</v>
      </c>
      <c r="I36" s="308">
        <f t="shared" si="2"/>
        <v>381595.45500000002</v>
      </c>
      <c r="J36" s="308">
        <f t="shared" si="2"/>
        <v>130216.8</v>
      </c>
      <c r="K36" s="308">
        <f t="shared" si="2"/>
        <v>774112.15499999991</v>
      </c>
      <c r="M36" s="423"/>
    </row>
    <row r="37" spans="1:13" ht="18" customHeight="1" thickBot="1" x14ac:dyDescent="0.45">
      <c r="B37" s="95"/>
      <c r="F37" s="398"/>
      <c r="G37" s="398"/>
      <c r="H37" s="399"/>
      <c r="I37" s="399"/>
      <c r="J37" s="399"/>
      <c r="K37" s="112"/>
    </row>
    <row r="38" spans="1:13" ht="42.75" customHeight="1" x14ac:dyDescent="0.4">
      <c r="F38" s="99" t="s">
        <v>9</v>
      </c>
      <c r="G38" s="99" t="s">
        <v>37</v>
      </c>
      <c r="H38" s="99" t="s">
        <v>29</v>
      </c>
      <c r="I38" s="99" t="s">
        <v>30</v>
      </c>
      <c r="J38" s="99" t="s">
        <v>33</v>
      </c>
      <c r="K38" s="99" t="s">
        <v>34</v>
      </c>
    </row>
    <row r="39" spans="1:13" ht="18.75" customHeight="1" x14ac:dyDescent="0.4">
      <c r="A39" s="98" t="s">
        <v>86</v>
      </c>
      <c r="B39" s="95" t="s">
        <v>49</v>
      </c>
    </row>
    <row r="40" spans="1:13" ht="18" customHeight="1" x14ac:dyDescent="0.4">
      <c r="A40" s="1" t="s">
        <v>87</v>
      </c>
      <c r="B40" t="s">
        <v>31</v>
      </c>
      <c r="F40" s="306">
        <v>455.9</v>
      </c>
      <c r="G40" s="306">
        <v>0</v>
      </c>
      <c r="H40" s="307">
        <v>62247.6</v>
      </c>
      <c r="I40" s="115">
        <f t="shared" ref="I40:I43" si="3">H40*F$114</f>
        <v>45440.748</v>
      </c>
      <c r="J40" s="307">
        <v>0</v>
      </c>
      <c r="K40" s="308">
        <f t="shared" ref="K40:K47" si="4">(H40+I40)-J40</f>
        <v>107688.348</v>
      </c>
    </row>
    <row r="41" spans="1:13" ht="18" customHeight="1" x14ac:dyDescent="0.4">
      <c r="A41" s="1" t="s">
        <v>88</v>
      </c>
      <c r="B41" s="635" t="s">
        <v>50</v>
      </c>
      <c r="C41" s="636"/>
      <c r="F41" s="306">
        <v>530</v>
      </c>
      <c r="G41" s="306">
        <v>0</v>
      </c>
      <c r="H41" s="307">
        <v>21715.200000000001</v>
      </c>
      <c r="I41" s="115">
        <f t="shared" si="3"/>
        <v>15852.096</v>
      </c>
      <c r="J41" s="307">
        <v>0</v>
      </c>
      <c r="K41" s="308">
        <f t="shared" si="4"/>
        <v>37567.296000000002</v>
      </c>
    </row>
    <row r="42" spans="1:13" ht="18" customHeight="1" x14ac:dyDescent="0.4">
      <c r="A42" s="1" t="s">
        <v>89</v>
      </c>
      <c r="B42" s="94" t="s">
        <v>11</v>
      </c>
      <c r="F42" s="306">
        <v>3157.8</v>
      </c>
      <c r="G42" s="306">
        <v>0</v>
      </c>
      <c r="H42" s="307">
        <v>136557.9</v>
      </c>
      <c r="I42" s="115">
        <f t="shared" si="3"/>
        <v>99687.266999999993</v>
      </c>
      <c r="J42" s="307">
        <v>0</v>
      </c>
      <c r="K42" s="308">
        <f t="shared" si="4"/>
        <v>236245.16699999999</v>
      </c>
    </row>
    <row r="43" spans="1:13" ht="18" customHeight="1" x14ac:dyDescent="0.4">
      <c r="A43" s="1" t="s">
        <v>90</v>
      </c>
      <c r="B43" s="94" t="s">
        <v>10</v>
      </c>
      <c r="F43" s="306">
        <v>0</v>
      </c>
      <c r="G43" s="306">
        <v>0</v>
      </c>
      <c r="H43" s="307">
        <v>0</v>
      </c>
      <c r="I43" s="115">
        <f t="shared" si="3"/>
        <v>0</v>
      </c>
      <c r="J43" s="307">
        <v>0</v>
      </c>
      <c r="K43" s="308">
        <f t="shared" si="4"/>
        <v>0</v>
      </c>
    </row>
    <row r="44" spans="1:13" ht="18" customHeight="1" x14ac:dyDescent="0.4">
      <c r="A44" s="1" t="s">
        <v>91</v>
      </c>
      <c r="B44" s="630"/>
      <c r="C44" s="631"/>
      <c r="D44" s="632"/>
      <c r="F44" s="311"/>
      <c r="G44" s="311"/>
      <c r="H44" s="311"/>
      <c r="I44" s="116">
        <v>0</v>
      </c>
      <c r="J44" s="311"/>
      <c r="K44" s="353">
        <f t="shared" si="4"/>
        <v>0</v>
      </c>
    </row>
    <row r="45" spans="1:13" ht="18" customHeight="1" x14ac:dyDescent="0.4">
      <c r="A45" s="1" t="s">
        <v>139</v>
      </c>
      <c r="B45" s="630"/>
      <c r="C45" s="631"/>
      <c r="D45" s="632"/>
      <c r="F45" s="306"/>
      <c r="G45" s="306"/>
      <c r="H45" s="307"/>
      <c r="I45" s="115">
        <v>0</v>
      </c>
      <c r="J45" s="307"/>
      <c r="K45" s="308">
        <f t="shared" si="4"/>
        <v>0</v>
      </c>
    </row>
    <row r="46" spans="1:13" ht="18" customHeight="1" x14ac:dyDescent="0.4">
      <c r="A46" s="1" t="s">
        <v>140</v>
      </c>
      <c r="B46" s="630"/>
      <c r="C46" s="631"/>
      <c r="D46" s="632"/>
      <c r="F46" s="306"/>
      <c r="G46" s="306"/>
      <c r="H46" s="307"/>
      <c r="I46" s="115">
        <v>0</v>
      </c>
      <c r="J46" s="307"/>
      <c r="K46" s="308">
        <f t="shared" si="4"/>
        <v>0</v>
      </c>
    </row>
    <row r="47" spans="1:13" ht="18" customHeight="1" x14ac:dyDescent="0.4">
      <c r="A47" s="1" t="s">
        <v>141</v>
      </c>
      <c r="B47" s="630"/>
      <c r="C47" s="631"/>
      <c r="D47" s="632"/>
      <c r="F47" s="306"/>
      <c r="G47" s="306"/>
      <c r="H47" s="307"/>
      <c r="I47" s="115">
        <v>0</v>
      </c>
      <c r="J47" s="307"/>
      <c r="K47" s="308">
        <f t="shared" si="4"/>
        <v>0</v>
      </c>
    </row>
    <row r="49" spans="1:16" ht="18" customHeight="1" x14ac:dyDescent="0.4">
      <c r="A49" s="98" t="s">
        <v>142</v>
      </c>
      <c r="B49" s="95" t="s">
        <v>143</v>
      </c>
      <c r="E49" s="95" t="s">
        <v>7</v>
      </c>
      <c r="F49" s="312">
        <f t="shared" ref="F49:K49" si="5">SUM(F40:F47)</f>
        <v>4143.7</v>
      </c>
      <c r="G49" s="312">
        <f t="shared" si="5"/>
        <v>0</v>
      </c>
      <c r="H49" s="308">
        <f t="shared" si="5"/>
        <v>220520.7</v>
      </c>
      <c r="I49" s="308">
        <f t="shared" si="5"/>
        <v>160980.11099999998</v>
      </c>
      <c r="J49" s="308">
        <f t="shared" si="5"/>
        <v>0</v>
      </c>
      <c r="K49" s="308">
        <f t="shared" si="5"/>
        <v>381500.81099999999</v>
      </c>
      <c r="M49" s="424"/>
      <c r="N49" s="424"/>
      <c r="O49" s="424"/>
      <c r="P49" s="424"/>
    </row>
    <row r="50" spans="1:16" ht="18" customHeight="1" thickBot="1" x14ac:dyDescent="0.45">
      <c r="G50" s="103"/>
      <c r="H50" s="103"/>
      <c r="I50" s="103"/>
      <c r="J50" s="103"/>
      <c r="K50" s="103"/>
    </row>
    <row r="51" spans="1:16" ht="42.75" customHeight="1" x14ac:dyDescent="0.4">
      <c r="F51" s="99" t="s">
        <v>9</v>
      </c>
      <c r="G51" s="99" t="s">
        <v>37</v>
      </c>
      <c r="H51" s="99" t="s">
        <v>29</v>
      </c>
      <c r="I51" s="99" t="s">
        <v>30</v>
      </c>
      <c r="J51" s="99" t="s">
        <v>33</v>
      </c>
      <c r="K51" s="99" t="s">
        <v>34</v>
      </c>
    </row>
    <row r="52" spans="1:16" ht="18" customHeight="1" x14ac:dyDescent="0.4">
      <c r="A52" s="98" t="s">
        <v>92</v>
      </c>
      <c r="B52" s="656" t="s">
        <v>38</v>
      </c>
      <c r="C52" s="657"/>
    </row>
    <row r="53" spans="1:16" ht="18" customHeight="1" x14ac:dyDescent="0.4">
      <c r="A53" s="1" t="s">
        <v>51</v>
      </c>
      <c r="B53" s="658" t="s">
        <v>422</v>
      </c>
      <c r="C53" s="659"/>
      <c r="D53" s="654"/>
      <c r="F53" s="306"/>
      <c r="G53" s="306"/>
      <c r="H53" s="307">
        <v>650454</v>
      </c>
      <c r="I53" s="115">
        <v>0</v>
      </c>
      <c r="J53" s="307">
        <v>0</v>
      </c>
      <c r="K53" s="308">
        <f t="shared" ref="K53:K62" si="6">(H53+I53)-J53</f>
        <v>650454</v>
      </c>
    </row>
    <row r="54" spans="1:16" ht="18" customHeight="1" x14ac:dyDescent="0.4">
      <c r="A54" s="1" t="s">
        <v>93</v>
      </c>
      <c r="B54" s="400" t="s">
        <v>487</v>
      </c>
      <c r="C54" s="401"/>
      <c r="D54" s="402"/>
      <c r="F54" s="306"/>
      <c r="G54" s="306"/>
      <c r="H54" s="307">
        <v>594540</v>
      </c>
      <c r="I54" s="115">
        <v>0</v>
      </c>
      <c r="J54" s="307">
        <v>0</v>
      </c>
      <c r="K54" s="308">
        <f t="shared" si="6"/>
        <v>594540</v>
      </c>
    </row>
    <row r="55" spans="1:16" ht="18" customHeight="1" x14ac:dyDescent="0.4">
      <c r="A55" s="1" t="s">
        <v>94</v>
      </c>
      <c r="B55" s="655" t="s">
        <v>390</v>
      </c>
      <c r="C55" s="653"/>
      <c r="D55" s="654"/>
      <c r="F55" s="306"/>
      <c r="G55" s="306"/>
      <c r="H55" s="307">
        <v>1253797</v>
      </c>
      <c r="I55" s="115">
        <v>0</v>
      </c>
      <c r="J55" s="307">
        <v>0</v>
      </c>
      <c r="K55" s="308">
        <f t="shared" si="6"/>
        <v>1253797</v>
      </c>
    </row>
    <row r="56" spans="1:16" ht="18" customHeight="1" x14ac:dyDescent="0.4">
      <c r="A56" s="1" t="s">
        <v>95</v>
      </c>
      <c r="B56" s="655"/>
      <c r="C56" s="653"/>
      <c r="D56" s="654"/>
      <c r="F56" s="306"/>
      <c r="G56" s="306"/>
      <c r="H56" s="307"/>
      <c r="I56" s="115">
        <v>0</v>
      </c>
      <c r="J56" s="307"/>
      <c r="K56" s="308">
        <f t="shared" si="6"/>
        <v>0</v>
      </c>
    </row>
    <row r="57" spans="1:16" ht="18" customHeight="1" x14ac:dyDescent="0.4">
      <c r="A57" s="1" t="s">
        <v>96</v>
      </c>
      <c r="B57" s="655"/>
      <c r="C57" s="653"/>
      <c r="D57" s="654"/>
      <c r="F57" s="306"/>
      <c r="G57" s="306"/>
      <c r="H57" s="307"/>
      <c r="I57" s="115">
        <v>0</v>
      </c>
      <c r="J57" s="307"/>
      <c r="K57" s="308">
        <f t="shared" si="6"/>
        <v>0</v>
      </c>
    </row>
    <row r="58" spans="1:16" ht="18" customHeight="1" x14ac:dyDescent="0.4">
      <c r="A58" s="1" t="s">
        <v>97</v>
      </c>
      <c r="B58" s="400"/>
      <c r="C58" s="401"/>
      <c r="D58" s="402"/>
      <c r="F58" s="306"/>
      <c r="G58" s="306"/>
      <c r="H58" s="307"/>
      <c r="I58" s="115">
        <v>0</v>
      </c>
      <c r="J58" s="307"/>
      <c r="K58" s="308">
        <f t="shared" si="6"/>
        <v>0</v>
      </c>
    </row>
    <row r="59" spans="1:16" ht="18" customHeight="1" x14ac:dyDescent="0.4">
      <c r="A59" s="1" t="s">
        <v>98</v>
      </c>
      <c r="B59" s="655"/>
      <c r="C59" s="653"/>
      <c r="D59" s="654"/>
      <c r="F59" s="306"/>
      <c r="G59" s="306"/>
      <c r="H59" s="307"/>
      <c r="I59" s="115">
        <v>0</v>
      </c>
      <c r="J59" s="307"/>
      <c r="K59" s="308">
        <f t="shared" si="6"/>
        <v>0</v>
      </c>
    </row>
    <row r="60" spans="1:16" ht="18" customHeight="1" x14ac:dyDescent="0.4">
      <c r="A60" s="1" t="s">
        <v>99</v>
      </c>
      <c r="B60" s="655" t="s">
        <v>611</v>
      </c>
      <c r="C60" s="653"/>
      <c r="D60" s="654"/>
      <c r="F60" s="306">
        <v>0</v>
      </c>
      <c r="G60" s="306">
        <v>0</v>
      </c>
      <c r="H60" s="307">
        <v>1794261.9</v>
      </c>
      <c r="I60" s="115">
        <v>0</v>
      </c>
      <c r="J60" s="307">
        <v>1118843.7</v>
      </c>
      <c r="K60" s="308">
        <f t="shared" si="6"/>
        <v>675418.2</v>
      </c>
    </row>
    <row r="61" spans="1:16" ht="18" customHeight="1" x14ac:dyDescent="0.4">
      <c r="A61" s="1" t="s">
        <v>100</v>
      </c>
      <c r="B61" s="400"/>
      <c r="C61" s="401"/>
      <c r="D61" s="402"/>
      <c r="F61" s="306"/>
      <c r="G61" s="306"/>
      <c r="H61" s="307"/>
      <c r="I61" s="115">
        <v>0</v>
      </c>
      <c r="J61" s="307"/>
      <c r="K61" s="308">
        <f t="shared" si="6"/>
        <v>0</v>
      </c>
    </row>
    <row r="62" spans="1:16" ht="18" customHeight="1" x14ac:dyDescent="0.4">
      <c r="A62" s="1" t="s">
        <v>101</v>
      </c>
      <c r="B62" s="655"/>
      <c r="C62" s="653"/>
      <c r="D62" s="654"/>
      <c r="F62" s="306"/>
      <c r="G62" s="306"/>
      <c r="H62" s="307"/>
      <c r="I62" s="115">
        <v>0</v>
      </c>
      <c r="J62" s="307"/>
      <c r="K62" s="308">
        <f t="shared" si="6"/>
        <v>0</v>
      </c>
    </row>
    <row r="63" spans="1:16" ht="18" customHeight="1" x14ac:dyDescent="0.4">
      <c r="A63" s="1"/>
      <c r="I63" s="403"/>
    </row>
    <row r="64" spans="1:16" ht="18" customHeight="1" x14ac:dyDescent="0.4">
      <c r="A64" s="1" t="s">
        <v>144</v>
      </c>
      <c r="B64" s="95" t="s">
        <v>145</v>
      </c>
      <c r="E64" s="95" t="s">
        <v>7</v>
      </c>
      <c r="F64" s="310">
        <f t="shared" ref="F64:K64" si="7">SUM(F53:F62)</f>
        <v>0</v>
      </c>
      <c r="G64" s="310">
        <f t="shared" si="7"/>
        <v>0</v>
      </c>
      <c r="H64" s="308">
        <f t="shared" si="7"/>
        <v>4293052.9000000004</v>
      </c>
      <c r="I64" s="308">
        <f t="shared" si="7"/>
        <v>0</v>
      </c>
      <c r="J64" s="308">
        <f t="shared" si="7"/>
        <v>1118843.7</v>
      </c>
      <c r="K64" s="308">
        <f t="shared" si="7"/>
        <v>3174209.2</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4862.7</v>
      </c>
      <c r="G68" s="313">
        <v>0</v>
      </c>
      <c r="H68" s="320">
        <v>233897.2</v>
      </c>
      <c r="I68" s="115">
        <f t="shared" ref="I68" si="8">H68*F$114</f>
        <v>170744.95600000001</v>
      </c>
      <c r="J68" s="313">
        <v>0</v>
      </c>
      <c r="K68" s="308">
        <f>(H68+I68)-J68</f>
        <v>404642.15600000002</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4862.7</v>
      </c>
      <c r="G74" s="411">
        <f t="shared" si="9"/>
        <v>0</v>
      </c>
      <c r="H74" s="343">
        <f t="shared" si="9"/>
        <v>233897.2</v>
      </c>
      <c r="I74" s="412">
        <f t="shared" si="9"/>
        <v>170744.95600000001</v>
      </c>
      <c r="J74" s="411">
        <f t="shared" si="9"/>
        <v>0</v>
      </c>
      <c r="K74" s="308">
        <f t="shared" si="9"/>
        <v>404642.15600000002</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0</v>
      </c>
      <c r="H77" s="307">
        <v>21000</v>
      </c>
      <c r="I77" s="115">
        <v>0</v>
      </c>
      <c r="J77" s="307">
        <v>0</v>
      </c>
      <c r="K77" s="308">
        <f>(H77+I77)-J77</f>
        <v>21000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238.29</v>
      </c>
      <c r="G79" s="306">
        <v>87.6</v>
      </c>
      <c r="H79" s="307">
        <v>18836.099999999999</v>
      </c>
      <c r="I79" s="115">
        <v>0</v>
      </c>
      <c r="J79" s="307">
        <v>0</v>
      </c>
      <c r="K79" s="308">
        <f>(H79+I79)-J79</f>
        <v>18836.099999999999</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238.29</v>
      </c>
      <c r="G82" s="411">
        <f t="shared" si="10"/>
        <v>87.6</v>
      </c>
      <c r="H82" s="308">
        <f t="shared" si="10"/>
        <v>39836.1</v>
      </c>
      <c r="I82" s="308">
        <f t="shared" si="10"/>
        <v>0</v>
      </c>
      <c r="J82" s="308">
        <f t="shared" si="10"/>
        <v>0</v>
      </c>
      <c r="K82" s="308">
        <f t="shared" si="10"/>
        <v>39836.1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1">H86*F$114</f>
        <v>0</v>
      </c>
      <c r="J86" s="307"/>
      <c r="K86" s="308">
        <f t="shared" ref="K86:K96" si="12">(H86+I86)-J86</f>
        <v>0</v>
      </c>
    </row>
    <row r="87" spans="1:11" ht="18" customHeight="1" x14ac:dyDescent="0.4">
      <c r="A87" s="1" t="s">
        <v>114</v>
      </c>
      <c r="B87" s="94" t="s">
        <v>14</v>
      </c>
      <c r="F87" s="306">
        <v>13.65</v>
      </c>
      <c r="G87" s="306">
        <v>0</v>
      </c>
      <c r="H87" s="352">
        <v>1863.9</v>
      </c>
      <c r="I87" s="116">
        <f t="shared" si="11"/>
        <v>1360.6469999999999</v>
      </c>
      <c r="J87" s="352">
        <v>0</v>
      </c>
      <c r="K87" s="353">
        <f t="shared" si="12"/>
        <v>3224.547</v>
      </c>
    </row>
    <row r="88" spans="1:11" ht="18" customHeight="1" x14ac:dyDescent="0.4">
      <c r="A88" s="1" t="s">
        <v>115</v>
      </c>
      <c r="B88" s="94" t="s">
        <v>116</v>
      </c>
      <c r="F88" s="311">
        <v>28573.26</v>
      </c>
      <c r="G88" s="306">
        <v>0</v>
      </c>
      <c r="H88" s="352">
        <v>1263501</v>
      </c>
      <c r="I88" s="116">
        <f t="shared" si="11"/>
        <v>922355.73</v>
      </c>
      <c r="J88" s="352">
        <v>91868</v>
      </c>
      <c r="K88" s="353">
        <f t="shared" si="12"/>
        <v>2093988.73</v>
      </c>
    </row>
    <row r="89" spans="1:11" ht="18" customHeight="1" x14ac:dyDescent="0.4">
      <c r="A89" s="1" t="s">
        <v>117</v>
      </c>
      <c r="B89" s="94" t="s">
        <v>58</v>
      </c>
      <c r="F89" s="306"/>
      <c r="G89" s="306"/>
      <c r="H89" s="307"/>
      <c r="I89" s="115">
        <f t="shared" si="11"/>
        <v>0</v>
      </c>
      <c r="J89" s="307"/>
      <c r="K89" s="308">
        <f t="shared" si="12"/>
        <v>0</v>
      </c>
    </row>
    <row r="90" spans="1:11" ht="18" customHeight="1" x14ac:dyDescent="0.4">
      <c r="A90" s="1" t="s">
        <v>118</v>
      </c>
      <c r="B90" s="635" t="s">
        <v>59</v>
      </c>
      <c r="C90" s="636"/>
      <c r="F90" s="306"/>
      <c r="G90" s="306"/>
      <c r="H90" s="307"/>
      <c r="I90" s="115">
        <f t="shared" si="11"/>
        <v>0</v>
      </c>
      <c r="J90" s="307"/>
      <c r="K90" s="308">
        <f t="shared" si="12"/>
        <v>0</v>
      </c>
    </row>
    <row r="91" spans="1:11" ht="18" customHeight="1" x14ac:dyDescent="0.4">
      <c r="A91" s="1" t="s">
        <v>119</v>
      </c>
      <c r="B91" s="94" t="s">
        <v>60</v>
      </c>
      <c r="F91" s="306">
        <v>652.35</v>
      </c>
      <c r="G91" s="306">
        <v>0</v>
      </c>
      <c r="H91" s="307">
        <v>20808.3</v>
      </c>
      <c r="I91" s="115">
        <f t="shared" si="11"/>
        <v>15190.058999999999</v>
      </c>
      <c r="J91" s="307">
        <v>0</v>
      </c>
      <c r="K91" s="308">
        <f t="shared" si="12"/>
        <v>35998.358999999997</v>
      </c>
    </row>
    <row r="92" spans="1:11" ht="18" customHeight="1" x14ac:dyDescent="0.4">
      <c r="A92" s="1" t="s">
        <v>120</v>
      </c>
      <c r="B92" s="94" t="s">
        <v>121</v>
      </c>
      <c r="F92" s="107"/>
      <c r="G92" s="107"/>
      <c r="H92" s="108"/>
      <c r="I92" s="115">
        <f t="shared" si="11"/>
        <v>0</v>
      </c>
      <c r="J92" s="108"/>
      <c r="K92" s="308">
        <f t="shared" si="12"/>
        <v>0</v>
      </c>
    </row>
    <row r="93" spans="1:11" ht="18" customHeight="1" x14ac:dyDescent="0.4">
      <c r="A93" s="1" t="s">
        <v>122</v>
      </c>
      <c r="B93" s="94" t="s">
        <v>123</v>
      </c>
      <c r="F93" s="306"/>
      <c r="G93" s="306"/>
      <c r="H93" s="307"/>
      <c r="I93" s="115">
        <f t="shared" si="11"/>
        <v>0</v>
      </c>
      <c r="J93" s="307"/>
      <c r="K93" s="308">
        <f t="shared" si="12"/>
        <v>0</v>
      </c>
    </row>
    <row r="94" spans="1:11" ht="18" customHeight="1" x14ac:dyDescent="0.4">
      <c r="A94" s="1" t="s">
        <v>124</v>
      </c>
      <c r="B94" s="655"/>
      <c r="C94" s="653"/>
      <c r="D94" s="654"/>
      <c r="F94" s="306"/>
      <c r="G94" s="306"/>
      <c r="H94" s="307"/>
      <c r="I94" s="115">
        <f t="shared" si="11"/>
        <v>0</v>
      </c>
      <c r="J94" s="307"/>
      <c r="K94" s="308">
        <f t="shared" si="12"/>
        <v>0</v>
      </c>
    </row>
    <row r="95" spans="1:11" ht="18" customHeight="1" x14ac:dyDescent="0.4">
      <c r="A95" s="1" t="s">
        <v>125</v>
      </c>
      <c r="B95" s="655"/>
      <c r="C95" s="653"/>
      <c r="D95" s="654"/>
      <c r="F95" s="306"/>
      <c r="G95" s="306"/>
      <c r="H95" s="307"/>
      <c r="I95" s="115">
        <f t="shared" si="11"/>
        <v>0</v>
      </c>
      <c r="J95" s="307"/>
      <c r="K95" s="308">
        <f t="shared" si="12"/>
        <v>0</v>
      </c>
    </row>
    <row r="96" spans="1:11" ht="18" customHeight="1" x14ac:dyDescent="0.4">
      <c r="A96" s="1" t="s">
        <v>126</v>
      </c>
      <c r="B96" s="655"/>
      <c r="C96" s="653"/>
      <c r="D96" s="654"/>
      <c r="F96" s="306"/>
      <c r="G96" s="306"/>
      <c r="H96" s="307"/>
      <c r="I96" s="115">
        <f t="shared" si="11"/>
        <v>0</v>
      </c>
      <c r="J96" s="307"/>
      <c r="K96" s="308">
        <f t="shared" si="12"/>
        <v>0</v>
      </c>
    </row>
    <row r="97" spans="1:11" ht="18" customHeight="1" x14ac:dyDescent="0.4">
      <c r="A97" s="1"/>
      <c r="B97" s="94"/>
    </row>
    <row r="98" spans="1:11" ht="18" customHeight="1" x14ac:dyDescent="0.4">
      <c r="A98" s="98" t="s">
        <v>150</v>
      </c>
      <c r="B98" s="95" t="s">
        <v>151</v>
      </c>
      <c r="E98" s="95" t="s">
        <v>7</v>
      </c>
      <c r="F98" s="310">
        <f t="shared" ref="F98:K98" si="13">SUM(F86:F96)</f>
        <v>29239.26</v>
      </c>
      <c r="G98" s="310">
        <f t="shared" si="13"/>
        <v>0</v>
      </c>
      <c r="H98" s="340">
        <f t="shared" si="13"/>
        <v>1286173.2</v>
      </c>
      <c r="I98" s="340">
        <f t="shared" si="13"/>
        <v>938906.43599999999</v>
      </c>
      <c r="J98" s="340">
        <f t="shared" si="13"/>
        <v>91868</v>
      </c>
      <c r="K98" s="340">
        <f t="shared" si="13"/>
        <v>2133211.6359999999</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11">
        <v>930</v>
      </c>
      <c r="G102" s="311">
        <v>0</v>
      </c>
      <c r="H102" s="352">
        <v>37338.6</v>
      </c>
      <c r="I102" s="116">
        <f>H102*F$114</f>
        <v>27257.178</v>
      </c>
      <c r="J102" s="352">
        <v>0</v>
      </c>
      <c r="K102" s="353">
        <f>(H102+I102)-J102</f>
        <v>64595.777999999998</v>
      </c>
    </row>
    <row r="103" spans="1:11" ht="18" customHeight="1" x14ac:dyDescent="0.4">
      <c r="A103" s="1" t="s">
        <v>132</v>
      </c>
      <c r="B103" s="635" t="s">
        <v>62</v>
      </c>
      <c r="C103" s="635"/>
      <c r="F103" s="306">
        <v>0</v>
      </c>
      <c r="G103" s="306">
        <v>0</v>
      </c>
      <c r="H103" s="307">
        <v>1322.4</v>
      </c>
      <c r="I103" s="115">
        <f>H103*F$114</f>
        <v>965.35200000000009</v>
      </c>
      <c r="J103" s="307">
        <v>0</v>
      </c>
      <c r="K103" s="308">
        <f>(H103+I103)-J103</f>
        <v>2287.7520000000004</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930</v>
      </c>
      <c r="G108" s="310">
        <f t="shared" si="14"/>
        <v>0</v>
      </c>
      <c r="H108" s="308">
        <f t="shared" si="14"/>
        <v>38661</v>
      </c>
      <c r="I108" s="308">
        <f t="shared" si="14"/>
        <v>28222.53</v>
      </c>
      <c r="J108" s="308">
        <f t="shared" si="14"/>
        <v>0</v>
      </c>
      <c r="K108" s="308">
        <f t="shared" si="14"/>
        <v>66883.53</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1818538</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425">
        <v>0.73</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84751888</v>
      </c>
    </row>
    <row r="118" spans="1:6" ht="18" customHeight="1" x14ac:dyDescent="0.4">
      <c r="A118" s="1" t="s">
        <v>173</v>
      </c>
      <c r="B118" t="s">
        <v>18</v>
      </c>
      <c r="F118" s="307">
        <v>7221809</v>
      </c>
    </row>
    <row r="119" spans="1:6" ht="18" customHeight="1" x14ac:dyDescent="0.4">
      <c r="A119" s="1" t="s">
        <v>174</v>
      </c>
      <c r="B119" s="95" t="s">
        <v>19</v>
      </c>
      <c r="F119" s="308">
        <f>SUM(F117:F118)</f>
        <v>91973697</v>
      </c>
    </row>
    <row r="120" spans="1:6" ht="18" customHeight="1" x14ac:dyDescent="0.4">
      <c r="A120" s="1"/>
      <c r="B120" s="95"/>
    </row>
    <row r="121" spans="1:6" ht="18" customHeight="1" x14ac:dyDescent="0.4">
      <c r="A121" s="1" t="s">
        <v>167</v>
      </c>
      <c r="B121" s="95" t="s">
        <v>36</v>
      </c>
      <c r="F121" s="307">
        <v>88580314</v>
      </c>
    </row>
    <row r="122" spans="1:6" ht="18" customHeight="1" x14ac:dyDescent="0.4">
      <c r="A122" s="1"/>
    </row>
    <row r="123" spans="1:6" ht="18" customHeight="1" x14ac:dyDescent="0.4">
      <c r="A123" s="1" t="s">
        <v>175</v>
      </c>
      <c r="B123" s="95" t="s">
        <v>20</v>
      </c>
      <c r="F123" s="307">
        <v>3393383</v>
      </c>
    </row>
    <row r="124" spans="1:6" ht="18" customHeight="1" x14ac:dyDescent="0.4">
      <c r="A124" s="1"/>
    </row>
    <row r="125" spans="1:6" ht="18" customHeight="1" x14ac:dyDescent="0.4">
      <c r="A125" s="1" t="s">
        <v>176</v>
      </c>
      <c r="B125" s="95" t="s">
        <v>21</v>
      </c>
      <c r="F125" s="307">
        <v>1044341</v>
      </c>
    </row>
    <row r="126" spans="1:6" ht="18" customHeight="1" x14ac:dyDescent="0.4">
      <c r="A126" s="1"/>
    </row>
    <row r="127" spans="1:6" ht="18" customHeight="1" x14ac:dyDescent="0.4">
      <c r="A127" s="1" t="s">
        <v>177</v>
      </c>
      <c r="B127" s="95" t="s">
        <v>22</v>
      </c>
      <c r="F127" s="307">
        <v>4437724</v>
      </c>
    </row>
    <row r="128" spans="1:6" ht="18" customHeight="1" x14ac:dyDescent="0.4">
      <c r="A128" s="1"/>
    </row>
    <row r="129" spans="1:15" ht="42.75" customHeight="1" x14ac:dyDescent="0.4">
      <c r="F129" s="99" t="s">
        <v>9</v>
      </c>
      <c r="G129" s="99" t="s">
        <v>37</v>
      </c>
      <c r="H129" s="99" t="s">
        <v>29</v>
      </c>
      <c r="I129" s="99" t="s">
        <v>30</v>
      </c>
      <c r="J129" s="99" t="s">
        <v>33</v>
      </c>
      <c r="K129" s="99" t="s">
        <v>34</v>
      </c>
    </row>
    <row r="130" spans="1:15" ht="18" customHeight="1" x14ac:dyDescent="0.4">
      <c r="A130" s="98" t="s">
        <v>157</v>
      </c>
      <c r="B130" s="95" t="s">
        <v>23</v>
      </c>
    </row>
    <row r="131" spans="1:15" ht="18" customHeight="1" x14ac:dyDescent="0.4">
      <c r="A131" s="1" t="s">
        <v>158</v>
      </c>
      <c r="B131" t="s">
        <v>24</v>
      </c>
      <c r="F131" s="306">
        <v>944.55</v>
      </c>
      <c r="G131" s="306">
        <v>2674.8</v>
      </c>
      <c r="H131" s="307">
        <v>54006.9</v>
      </c>
      <c r="I131" s="115">
        <v>0</v>
      </c>
      <c r="J131" s="307">
        <v>16605</v>
      </c>
      <c r="K131" s="308">
        <f>(H131+I131)-J131</f>
        <v>37401.9</v>
      </c>
      <c r="M131" s="426"/>
      <c r="N131" s="131"/>
      <c r="O131" s="131"/>
    </row>
    <row r="132" spans="1:15" ht="18" customHeight="1" x14ac:dyDescent="0.4">
      <c r="A132" s="1" t="s">
        <v>159</v>
      </c>
      <c r="B132" t="s">
        <v>25</v>
      </c>
      <c r="F132" s="306"/>
      <c r="G132" s="306"/>
      <c r="H132" s="307"/>
      <c r="I132" s="115">
        <v>0</v>
      </c>
      <c r="J132" s="307"/>
      <c r="K132" s="308">
        <f>(H132+I132)-J132</f>
        <v>0</v>
      </c>
    </row>
    <row r="133" spans="1:15" ht="18" customHeight="1" x14ac:dyDescent="0.4">
      <c r="A133" s="1" t="s">
        <v>160</v>
      </c>
      <c r="B133" s="630"/>
      <c r="C133" s="631"/>
      <c r="D133" s="632"/>
      <c r="F133" s="306"/>
      <c r="G133" s="306"/>
      <c r="H133" s="307"/>
      <c r="I133" s="115">
        <v>0</v>
      </c>
      <c r="J133" s="307"/>
      <c r="K133" s="308">
        <f>(H133+I133)-J133</f>
        <v>0</v>
      </c>
    </row>
    <row r="134" spans="1:15" ht="18" customHeight="1" x14ac:dyDescent="0.4">
      <c r="A134" s="1" t="s">
        <v>161</v>
      </c>
      <c r="B134" s="630"/>
      <c r="C134" s="631"/>
      <c r="D134" s="632"/>
      <c r="F134" s="306"/>
      <c r="G134" s="306"/>
      <c r="H134" s="307"/>
      <c r="I134" s="115">
        <v>0</v>
      </c>
      <c r="J134" s="307"/>
      <c r="K134" s="308">
        <f>(H134+I134)-J134</f>
        <v>0</v>
      </c>
    </row>
    <row r="135" spans="1:15" ht="18" customHeight="1" x14ac:dyDescent="0.4">
      <c r="A135" s="1" t="s">
        <v>162</v>
      </c>
      <c r="B135" s="630"/>
      <c r="C135" s="631"/>
      <c r="D135" s="632"/>
      <c r="F135" s="306"/>
      <c r="G135" s="306"/>
      <c r="H135" s="307"/>
      <c r="I135" s="115">
        <v>0</v>
      </c>
      <c r="J135" s="307"/>
      <c r="K135" s="308">
        <f>(H135+I135)-J135</f>
        <v>0</v>
      </c>
    </row>
    <row r="136" spans="1:15" ht="18" customHeight="1" x14ac:dyDescent="0.4">
      <c r="A136" s="98"/>
    </row>
    <row r="137" spans="1:15" ht="18" customHeight="1" x14ac:dyDescent="0.4">
      <c r="A137" s="98" t="s">
        <v>163</v>
      </c>
      <c r="B137" s="95" t="s">
        <v>27</v>
      </c>
      <c r="F137" s="310">
        <f t="shared" ref="F137:K137" si="15">SUM(F131:F135)</f>
        <v>944.55</v>
      </c>
      <c r="G137" s="310">
        <f t="shared" si="15"/>
        <v>2674.8</v>
      </c>
      <c r="H137" s="308">
        <f t="shared" si="15"/>
        <v>54006.9</v>
      </c>
      <c r="I137" s="308">
        <f t="shared" si="15"/>
        <v>0</v>
      </c>
      <c r="J137" s="308">
        <f t="shared" si="15"/>
        <v>16605</v>
      </c>
      <c r="K137" s="308">
        <f t="shared" si="15"/>
        <v>37401.9</v>
      </c>
    </row>
    <row r="138" spans="1:15" ht="18" customHeight="1" x14ac:dyDescent="0.4">
      <c r="A138"/>
    </row>
    <row r="139" spans="1:15" ht="42.75" customHeight="1" x14ac:dyDescent="0.4">
      <c r="F139" s="99" t="s">
        <v>9</v>
      </c>
      <c r="G139" s="99" t="s">
        <v>37</v>
      </c>
      <c r="H139" s="99" t="s">
        <v>29</v>
      </c>
      <c r="I139" s="99" t="s">
        <v>30</v>
      </c>
      <c r="J139" s="99" t="s">
        <v>33</v>
      </c>
      <c r="K139" s="99" t="s">
        <v>34</v>
      </c>
    </row>
    <row r="140" spans="1:15" ht="18" customHeight="1" x14ac:dyDescent="0.4">
      <c r="A140" s="98" t="s">
        <v>166</v>
      </c>
      <c r="B140" s="95" t="s">
        <v>26</v>
      </c>
    </row>
    <row r="141" spans="1:15" ht="18" customHeight="1" x14ac:dyDescent="0.4">
      <c r="A141" s="1" t="s">
        <v>137</v>
      </c>
      <c r="B141" s="95" t="s">
        <v>64</v>
      </c>
      <c r="F141" s="109">
        <f t="shared" ref="F141:K141" si="16">F36</f>
        <v>6387</v>
      </c>
      <c r="G141" s="109">
        <f t="shared" si="16"/>
        <v>84879</v>
      </c>
      <c r="H141" s="106">
        <f t="shared" si="16"/>
        <v>522733.5</v>
      </c>
      <c r="I141" s="106">
        <f t="shared" si="16"/>
        <v>381595.45500000002</v>
      </c>
      <c r="J141" s="106">
        <f t="shared" si="16"/>
        <v>130216.8</v>
      </c>
      <c r="K141" s="106">
        <f t="shared" si="16"/>
        <v>774112.15499999991</v>
      </c>
    </row>
    <row r="142" spans="1:15" ht="18" customHeight="1" x14ac:dyDescent="0.4">
      <c r="A142" s="1" t="s">
        <v>142</v>
      </c>
      <c r="B142" s="95" t="s">
        <v>65</v>
      </c>
      <c r="F142" s="109">
        <f t="shared" ref="F142:K142" si="17">F49</f>
        <v>4143.7</v>
      </c>
      <c r="G142" s="109">
        <f t="shared" si="17"/>
        <v>0</v>
      </c>
      <c r="H142" s="106">
        <f t="shared" si="17"/>
        <v>220520.7</v>
      </c>
      <c r="I142" s="106">
        <f t="shared" si="17"/>
        <v>160980.11099999998</v>
      </c>
      <c r="J142" s="106">
        <f t="shared" si="17"/>
        <v>0</v>
      </c>
      <c r="K142" s="106">
        <f t="shared" si="17"/>
        <v>381500.81099999999</v>
      </c>
    </row>
    <row r="143" spans="1:15" ht="18" customHeight="1" x14ac:dyDescent="0.4">
      <c r="A143" s="1" t="s">
        <v>144</v>
      </c>
      <c r="B143" s="95" t="s">
        <v>66</v>
      </c>
      <c r="F143" s="109">
        <f t="shared" ref="F143:K143" si="18">F64</f>
        <v>0</v>
      </c>
      <c r="G143" s="109">
        <f t="shared" si="18"/>
        <v>0</v>
      </c>
      <c r="H143" s="106">
        <f t="shared" si="18"/>
        <v>4293052.9000000004</v>
      </c>
      <c r="I143" s="106">
        <f t="shared" si="18"/>
        <v>0</v>
      </c>
      <c r="J143" s="106">
        <f t="shared" si="18"/>
        <v>1118843.7</v>
      </c>
      <c r="K143" s="106">
        <f t="shared" si="18"/>
        <v>3174209.2</v>
      </c>
    </row>
    <row r="144" spans="1:15" ht="18" customHeight="1" x14ac:dyDescent="0.4">
      <c r="A144" s="1" t="s">
        <v>146</v>
      </c>
      <c r="B144" s="95" t="s">
        <v>67</v>
      </c>
      <c r="F144" s="109">
        <f t="shared" ref="F144:K144" si="19">F74</f>
        <v>4862.7</v>
      </c>
      <c r="G144" s="109">
        <f t="shared" si="19"/>
        <v>0</v>
      </c>
      <c r="H144" s="106">
        <f t="shared" si="19"/>
        <v>233897.2</v>
      </c>
      <c r="I144" s="106">
        <f t="shared" si="19"/>
        <v>170744.95600000001</v>
      </c>
      <c r="J144" s="106">
        <f t="shared" si="19"/>
        <v>0</v>
      </c>
      <c r="K144" s="106">
        <f t="shared" si="19"/>
        <v>404642.15600000002</v>
      </c>
    </row>
    <row r="145" spans="1:11" ht="18" customHeight="1" x14ac:dyDescent="0.4">
      <c r="A145" s="1" t="s">
        <v>148</v>
      </c>
      <c r="B145" s="95" t="s">
        <v>68</v>
      </c>
      <c r="F145" s="109">
        <f t="shared" ref="F145:K145" si="20">F82</f>
        <v>238.29</v>
      </c>
      <c r="G145" s="109">
        <f t="shared" si="20"/>
        <v>87.6</v>
      </c>
      <c r="H145" s="106">
        <f t="shared" si="20"/>
        <v>39836.1</v>
      </c>
      <c r="I145" s="106">
        <f t="shared" si="20"/>
        <v>0</v>
      </c>
      <c r="J145" s="106">
        <f t="shared" si="20"/>
        <v>0</v>
      </c>
      <c r="K145" s="106">
        <f t="shared" si="20"/>
        <v>39836.1</v>
      </c>
    </row>
    <row r="146" spans="1:11" ht="18" customHeight="1" x14ac:dyDescent="0.4">
      <c r="A146" s="1" t="s">
        <v>150</v>
      </c>
      <c r="B146" s="95" t="s">
        <v>69</v>
      </c>
      <c r="F146" s="109">
        <f t="shared" ref="F146:K146" si="21">F98</f>
        <v>29239.26</v>
      </c>
      <c r="G146" s="109">
        <f t="shared" si="21"/>
        <v>0</v>
      </c>
      <c r="H146" s="106">
        <f t="shared" si="21"/>
        <v>1286173.2</v>
      </c>
      <c r="I146" s="106">
        <f t="shared" si="21"/>
        <v>938906.43599999999</v>
      </c>
      <c r="J146" s="106">
        <f t="shared" si="21"/>
        <v>91868</v>
      </c>
      <c r="K146" s="106">
        <f t="shared" si="21"/>
        <v>2133211.6359999999</v>
      </c>
    </row>
    <row r="147" spans="1:11" ht="18" customHeight="1" x14ac:dyDescent="0.4">
      <c r="A147" s="1" t="s">
        <v>153</v>
      </c>
      <c r="B147" s="95" t="s">
        <v>61</v>
      </c>
      <c r="F147" s="310">
        <f t="shared" ref="F147:K147" si="22">F108</f>
        <v>930</v>
      </c>
      <c r="G147" s="310">
        <f t="shared" si="22"/>
        <v>0</v>
      </c>
      <c r="H147" s="308">
        <f t="shared" si="22"/>
        <v>38661</v>
      </c>
      <c r="I147" s="308">
        <f t="shared" si="22"/>
        <v>28222.53</v>
      </c>
      <c r="J147" s="308">
        <f t="shared" si="22"/>
        <v>0</v>
      </c>
      <c r="K147" s="308">
        <f t="shared" si="22"/>
        <v>66883.53</v>
      </c>
    </row>
    <row r="148" spans="1:11" ht="18" customHeight="1" x14ac:dyDescent="0.4">
      <c r="A148" s="1" t="s">
        <v>155</v>
      </c>
      <c r="B148" s="95" t="s">
        <v>70</v>
      </c>
      <c r="F148" s="110" t="s">
        <v>73</v>
      </c>
      <c r="G148" s="110" t="s">
        <v>73</v>
      </c>
      <c r="H148" s="111" t="s">
        <v>73</v>
      </c>
      <c r="I148" s="111" t="s">
        <v>73</v>
      </c>
      <c r="J148" s="111" t="s">
        <v>73</v>
      </c>
      <c r="K148" s="106">
        <f>F111</f>
        <v>1818538</v>
      </c>
    </row>
    <row r="149" spans="1:11" ht="18" customHeight="1" x14ac:dyDescent="0.4">
      <c r="A149" s="1" t="s">
        <v>163</v>
      </c>
      <c r="B149" s="95" t="s">
        <v>71</v>
      </c>
      <c r="F149" s="310">
        <f t="shared" ref="F149:K149" si="23">F137</f>
        <v>944.55</v>
      </c>
      <c r="G149" s="310">
        <f t="shared" si="23"/>
        <v>2674.8</v>
      </c>
      <c r="H149" s="308">
        <f t="shared" si="23"/>
        <v>54006.9</v>
      </c>
      <c r="I149" s="308">
        <f t="shared" si="23"/>
        <v>0</v>
      </c>
      <c r="J149" s="308">
        <f t="shared" si="23"/>
        <v>16605</v>
      </c>
      <c r="K149" s="308">
        <f t="shared" si="23"/>
        <v>37401.9</v>
      </c>
    </row>
    <row r="150" spans="1:11" ht="18" customHeight="1" x14ac:dyDescent="0.4">
      <c r="A150" s="1" t="s">
        <v>185</v>
      </c>
      <c r="B150" s="95" t="s">
        <v>186</v>
      </c>
      <c r="F150" s="110" t="s">
        <v>73</v>
      </c>
      <c r="G150" s="110" t="s">
        <v>73</v>
      </c>
      <c r="H150" s="308">
        <f>H18</f>
        <v>1995609.51</v>
      </c>
      <c r="I150" s="308">
        <f>I18</f>
        <v>0</v>
      </c>
      <c r="J150" s="308">
        <f>J18</f>
        <v>1653901.6</v>
      </c>
      <c r="K150" s="308">
        <f>K18</f>
        <v>341707.90999999992</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46745.5</v>
      </c>
      <c r="G152" s="114">
        <f t="shared" si="24"/>
        <v>87641.400000000009</v>
      </c>
      <c r="H152" s="427">
        <f t="shared" si="24"/>
        <v>8684491.0100000016</v>
      </c>
      <c r="I152" s="427">
        <f t="shared" si="24"/>
        <v>1680449.4880000001</v>
      </c>
      <c r="J152" s="427">
        <f t="shared" si="24"/>
        <v>3011435.1</v>
      </c>
      <c r="K152" s="427">
        <f t="shared" si="24"/>
        <v>9172043.398</v>
      </c>
    </row>
    <row r="154" spans="1:11" ht="18" customHeight="1" x14ac:dyDescent="0.4">
      <c r="A154" s="98" t="s">
        <v>168</v>
      </c>
      <c r="B154" s="95" t="s">
        <v>28</v>
      </c>
      <c r="F154" s="318">
        <f>K152/F121</f>
        <v>0.10354494112540626</v>
      </c>
    </row>
    <row r="155" spans="1:11" ht="18" customHeight="1" x14ac:dyDescent="0.4">
      <c r="A155" s="98" t="s">
        <v>169</v>
      </c>
      <c r="B155" s="95" t="s">
        <v>72</v>
      </c>
      <c r="F155" s="318">
        <f>K152/F127</f>
        <v>2.0668350257925008</v>
      </c>
      <c r="G155" s="95"/>
    </row>
    <row r="156" spans="1:11" ht="18" customHeight="1" x14ac:dyDescent="0.4">
      <c r="G156" s="95"/>
    </row>
  </sheetData>
  <mergeCells count="35">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B60:D60"/>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xr:uid="{24C3B795-1A5D-4A60-B675-4FD3A666659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L160"/>
  <sheetViews>
    <sheetView showGridLines="0" topLeftCell="A133" zoomScale="70" zoomScaleNormal="70" zoomScaleSheetLayoutView="8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27734375" customWidth="1"/>
    <col min="9" max="9" width="21.27734375" customWidth="1"/>
    <col min="10" max="10" width="19.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674</v>
      </c>
      <c r="D5" s="666"/>
      <c r="E5" s="666"/>
      <c r="F5" s="666"/>
      <c r="G5" s="667"/>
    </row>
    <row r="6" spans="1:11" ht="18" customHeight="1" x14ac:dyDescent="0.4">
      <c r="B6" s="1" t="s">
        <v>3</v>
      </c>
      <c r="C6" s="668" t="s">
        <v>305</v>
      </c>
      <c r="D6" s="669"/>
      <c r="E6" s="669"/>
      <c r="F6" s="669"/>
      <c r="G6" s="670"/>
    </row>
    <row r="7" spans="1:11" ht="18" customHeight="1" x14ac:dyDescent="0.4">
      <c r="B7" s="1" t="s">
        <v>4</v>
      </c>
      <c r="C7" s="686">
        <v>3539</v>
      </c>
      <c r="D7" s="687"/>
      <c r="E7" s="687"/>
      <c r="F7" s="687"/>
      <c r="G7" s="688"/>
    </row>
    <row r="9" spans="1:11" ht="18" customHeight="1" x14ac:dyDescent="0.4">
      <c r="B9" s="1" t="s">
        <v>1</v>
      </c>
      <c r="C9" s="663" t="s">
        <v>675</v>
      </c>
      <c r="D9" s="666"/>
      <c r="E9" s="666"/>
      <c r="F9" s="666"/>
      <c r="G9" s="667"/>
    </row>
    <row r="10" spans="1:11" ht="18" customHeight="1" x14ac:dyDescent="0.4">
      <c r="B10" s="1" t="s">
        <v>2</v>
      </c>
      <c r="C10" s="660" t="s">
        <v>458</v>
      </c>
      <c r="D10" s="661"/>
      <c r="E10" s="661"/>
      <c r="F10" s="661"/>
      <c r="G10" s="662"/>
    </row>
    <row r="11" spans="1:11" ht="18" customHeight="1" x14ac:dyDescent="0.4">
      <c r="B11" s="1" t="s">
        <v>32</v>
      </c>
      <c r="C11" s="682" t="s">
        <v>306</v>
      </c>
      <c r="D11" s="664"/>
      <c r="E11" s="664"/>
      <c r="F11" s="664"/>
      <c r="G11" s="665"/>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9" t="s">
        <v>73</v>
      </c>
      <c r="G18" s="309" t="s">
        <v>73</v>
      </c>
      <c r="H18" s="428">
        <v>10773711.949999999</v>
      </c>
      <c r="I18" s="429">
        <v>0</v>
      </c>
      <c r="J18" s="428">
        <v>8928930.9100000001</v>
      </c>
      <c r="K18" s="430">
        <f>H18-J18</f>
        <v>1844781.0399999991</v>
      </c>
    </row>
    <row r="19" spans="1:11" ht="45" customHeight="1" x14ac:dyDescent="0.4">
      <c r="A19" s="96" t="s">
        <v>8</v>
      </c>
      <c r="B19" s="97"/>
      <c r="C19" s="97"/>
      <c r="D19" s="97"/>
      <c r="E19" s="97"/>
      <c r="F19" s="99" t="s">
        <v>9</v>
      </c>
      <c r="G19" s="99" t="s">
        <v>37</v>
      </c>
      <c r="H19" s="89" t="s">
        <v>29</v>
      </c>
      <c r="I19" s="89" t="s">
        <v>30</v>
      </c>
      <c r="J19" s="89" t="s">
        <v>33</v>
      </c>
      <c r="K19" s="89" t="s">
        <v>34</v>
      </c>
    </row>
    <row r="20" spans="1:11" ht="18" customHeight="1" x14ac:dyDescent="0.4">
      <c r="A20" s="98" t="s">
        <v>74</v>
      </c>
      <c r="B20" s="95" t="s">
        <v>41</v>
      </c>
      <c r="H20" s="241"/>
      <c r="I20" s="241"/>
      <c r="J20" s="241"/>
      <c r="K20" s="241"/>
    </row>
    <row r="21" spans="1:11" ht="18" customHeight="1" x14ac:dyDescent="0.4">
      <c r="A21" s="1" t="s">
        <v>75</v>
      </c>
      <c r="B21" s="94" t="s">
        <v>42</v>
      </c>
      <c r="F21" s="306">
        <v>41098</v>
      </c>
      <c r="G21" s="306">
        <v>5436.6582077716103</v>
      </c>
      <c r="H21" s="428">
        <v>1956476.4900186341</v>
      </c>
      <c r="I21" s="429">
        <v>1541653.7130900351</v>
      </c>
      <c r="J21" s="428">
        <v>450006.25</v>
      </c>
      <c r="K21" s="430">
        <v>3048123.9531086688</v>
      </c>
    </row>
    <row r="22" spans="1:11" ht="18" customHeight="1" x14ac:dyDescent="0.4">
      <c r="A22" s="1" t="s">
        <v>76</v>
      </c>
      <c r="B22" t="s">
        <v>6</v>
      </c>
      <c r="F22" s="306">
        <v>2476</v>
      </c>
      <c r="G22" s="306">
        <v>917</v>
      </c>
      <c r="H22" s="428">
        <v>1416480.8983999998</v>
      </c>
      <c r="I22" s="429">
        <v>1112999.0228844348</v>
      </c>
      <c r="J22" s="428"/>
      <c r="K22" s="430">
        <v>2529479.9212844344</v>
      </c>
    </row>
    <row r="23" spans="1:11" ht="18" customHeight="1" x14ac:dyDescent="0.4">
      <c r="A23" s="1" t="s">
        <v>77</v>
      </c>
      <c r="B23" t="s">
        <v>43</v>
      </c>
      <c r="F23" s="306"/>
      <c r="G23" s="306"/>
      <c r="H23" s="428"/>
      <c r="I23" s="429">
        <v>0</v>
      </c>
      <c r="J23" s="428"/>
      <c r="K23" s="430">
        <v>0</v>
      </c>
    </row>
    <row r="24" spans="1:11" ht="18" customHeight="1" x14ac:dyDescent="0.4">
      <c r="A24" s="1" t="s">
        <v>78</v>
      </c>
      <c r="B24" t="s">
        <v>44</v>
      </c>
      <c r="F24" s="306"/>
      <c r="G24" s="306"/>
      <c r="H24" s="428"/>
      <c r="I24" s="429">
        <v>0</v>
      </c>
      <c r="J24" s="428"/>
      <c r="K24" s="430">
        <v>0</v>
      </c>
    </row>
    <row r="25" spans="1:11" ht="18" customHeight="1" x14ac:dyDescent="0.4">
      <c r="A25" s="1" t="s">
        <v>79</v>
      </c>
      <c r="B25" t="s">
        <v>5</v>
      </c>
      <c r="F25" s="306"/>
      <c r="G25" s="306"/>
      <c r="H25" s="428"/>
      <c r="I25" s="429">
        <v>0</v>
      </c>
      <c r="J25" s="428"/>
      <c r="K25" s="430">
        <v>0</v>
      </c>
    </row>
    <row r="26" spans="1:11" ht="18" customHeight="1" x14ac:dyDescent="0.4">
      <c r="A26" s="1" t="s">
        <v>80</v>
      </c>
      <c r="B26" t="s">
        <v>45</v>
      </c>
      <c r="F26" s="306"/>
      <c r="G26" s="306"/>
      <c r="H26" s="428"/>
      <c r="I26" s="429">
        <v>0</v>
      </c>
      <c r="J26" s="428"/>
      <c r="K26" s="430">
        <v>0</v>
      </c>
    </row>
    <row r="27" spans="1:11" ht="18" customHeight="1" x14ac:dyDescent="0.4">
      <c r="A27" s="1" t="s">
        <v>81</v>
      </c>
      <c r="B27" t="s">
        <v>455</v>
      </c>
      <c r="F27" s="306"/>
      <c r="G27" s="306"/>
      <c r="H27" s="428"/>
      <c r="I27" s="429">
        <v>0</v>
      </c>
      <c r="J27" s="428"/>
      <c r="K27" s="430">
        <v>0</v>
      </c>
    </row>
    <row r="28" spans="1:11" ht="18" customHeight="1" x14ac:dyDescent="0.4">
      <c r="A28" s="1" t="s">
        <v>82</v>
      </c>
      <c r="B28" t="s">
        <v>47</v>
      </c>
      <c r="F28" s="306"/>
      <c r="G28" s="306"/>
      <c r="H28" s="428"/>
      <c r="I28" s="429">
        <v>0</v>
      </c>
      <c r="J28" s="428"/>
      <c r="K28" s="430">
        <v>0</v>
      </c>
    </row>
    <row r="29" spans="1:11" ht="18" customHeight="1" x14ac:dyDescent="0.4">
      <c r="A29" s="1" t="s">
        <v>83</v>
      </c>
      <c r="B29" t="s">
        <v>48</v>
      </c>
      <c r="F29" s="306">
        <v>5200</v>
      </c>
      <c r="G29" s="306">
        <v>0</v>
      </c>
      <c r="H29" s="428">
        <v>1508916</v>
      </c>
      <c r="I29" s="429">
        <v>1188987.430213796</v>
      </c>
      <c r="J29" s="428"/>
      <c r="K29" s="430">
        <v>2697903.430213796</v>
      </c>
    </row>
    <row r="30" spans="1:11" ht="18" customHeight="1" x14ac:dyDescent="0.4">
      <c r="A30" s="1" t="s">
        <v>84</v>
      </c>
      <c r="B30" s="693" t="s">
        <v>676</v>
      </c>
      <c r="C30" s="694"/>
      <c r="D30" s="695"/>
      <c r="F30" s="306">
        <v>1250</v>
      </c>
      <c r="G30" s="306">
        <v>26342</v>
      </c>
      <c r="H30" s="428">
        <v>720589.36</v>
      </c>
      <c r="I30" s="429">
        <v>567806.08820226172</v>
      </c>
      <c r="J30" s="428"/>
      <c r="K30" s="430">
        <v>1288395.4482022617</v>
      </c>
    </row>
    <row r="31" spans="1:11" ht="18" customHeight="1" x14ac:dyDescent="0.4">
      <c r="A31" s="1" t="s">
        <v>133</v>
      </c>
      <c r="B31" s="630"/>
      <c r="C31" s="631"/>
      <c r="D31" s="632"/>
      <c r="F31" s="306"/>
      <c r="G31" s="306"/>
      <c r="H31" s="428"/>
      <c r="I31" s="429">
        <v>0</v>
      </c>
      <c r="J31" s="428"/>
      <c r="K31" s="430">
        <v>0</v>
      </c>
    </row>
    <row r="32" spans="1:11" ht="18" customHeight="1" x14ac:dyDescent="0.4">
      <c r="A32" s="1" t="s">
        <v>134</v>
      </c>
      <c r="B32" s="394"/>
      <c r="C32" s="395"/>
      <c r="D32" s="396"/>
      <c r="F32" s="306"/>
      <c r="G32" s="306"/>
      <c r="H32" s="428"/>
      <c r="I32" s="429">
        <v>0</v>
      </c>
      <c r="J32" s="428"/>
      <c r="K32" s="430">
        <v>0</v>
      </c>
    </row>
    <row r="33" spans="1:11" ht="18" customHeight="1" x14ac:dyDescent="0.4">
      <c r="A33" s="1" t="s">
        <v>135</v>
      </c>
      <c r="B33" s="394"/>
      <c r="C33" s="395"/>
      <c r="D33" s="396"/>
      <c r="F33" s="306"/>
      <c r="G33" s="306"/>
      <c r="H33" s="428"/>
      <c r="I33" s="429">
        <v>0</v>
      </c>
      <c r="J33" s="428"/>
      <c r="K33" s="430">
        <v>0</v>
      </c>
    </row>
    <row r="34" spans="1:11" ht="18" customHeight="1" x14ac:dyDescent="0.4">
      <c r="A34" s="1" t="s">
        <v>136</v>
      </c>
      <c r="B34" s="630"/>
      <c r="C34" s="631"/>
      <c r="D34" s="632"/>
      <c r="F34" s="306"/>
      <c r="G34" s="306"/>
      <c r="H34" s="428"/>
      <c r="I34" s="429">
        <v>0</v>
      </c>
      <c r="J34" s="428"/>
      <c r="K34" s="430">
        <v>0</v>
      </c>
    </row>
    <row r="35" spans="1:11" ht="18" customHeight="1" x14ac:dyDescent="0.4">
      <c r="H35" s="431"/>
      <c r="I35" s="431"/>
      <c r="J35" s="431"/>
      <c r="K35" s="432"/>
    </row>
    <row r="36" spans="1:11" ht="18" customHeight="1" x14ac:dyDescent="0.4">
      <c r="A36" s="98" t="s">
        <v>137</v>
      </c>
      <c r="B36" s="95" t="s">
        <v>138</v>
      </c>
      <c r="E36" s="95" t="s">
        <v>7</v>
      </c>
      <c r="F36" s="310">
        <f t="shared" ref="F36:K36" si="0">SUM(F21:F34)</f>
        <v>50024</v>
      </c>
      <c r="G36" s="310">
        <f t="shared" si="0"/>
        <v>32695.658207771608</v>
      </c>
      <c r="H36" s="430">
        <f t="shared" si="0"/>
        <v>5602462.7484186338</v>
      </c>
      <c r="I36" s="430">
        <f>SUM(I21:I34)</f>
        <v>4411446.2543905275</v>
      </c>
      <c r="J36" s="430">
        <f t="shared" si="0"/>
        <v>450006.25</v>
      </c>
      <c r="K36" s="430">
        <f t="shared" si="0"/>
        <v>9563902.7528091613</v>
      </c>
    </row>
    <row r="37" spans="1:11" ht="18" customHeight="1" thickBot="1" x14ac:dyDescent="0.45">
      <c r="B37" s="95"/>
      <c r="F37" s="398"/>
      <c r="G37" s="398"/>
      <c r="H37" s="244"/>
      <c r="I37" s="244"/>
      <c r="J37" s="244"/>
      <c r="K37" s="337"/>
    </row>
    <row r="38" spans="1:11" ht="42.75" customHeight="1" x14ac:dyDescent="0.4">
      <c r="F38" s="99" t="s">
        <v>9</v>
      </c>
      <c r="G38" s="99" t="s">
        <v>37</v>
      </c>
      <c r="H38" s="89" t="s">
        <v>29</v>
      </c>
      <c r="I38" s="89" t="s">
        <v>30</v>
      </c>
      <c r="J38" s="89" t="s">
        <v>33</v>
      </c>
      <c r="K38" s="89" t="s">
        <v>34</v>
      </c>
    </row>
    <row r="39" spans="1:11" ht="18.75" customHeight="1" x14ac:dyDescent="0.4">
      <c r="A39" s="98" t="s">
        <v>86</v>
      </c>
      <c r="B39" s="95" t="s">
        <v>49</v>
      </c>
      <c r="H39" s="241"/>
      <c r="I39" s="241"/>
      <c r="J39" s="241"/>
      <c r="K39" s="241"/>
    </row>
    <row r="40" spans="1:11" ht="18" customHeight="1" x14ac:dyDescent="0.4">
      <c r="A40" s="1" t="s">
        <v>87</v>
      </c>
      <c r="B40" t="s">
        <v>31</v>
      </c>
      <c r="F40" s="322">
        <v>133551.54</v>
      </c>
      <c r="G40" s="433">
        <v>0</v>
      </c>
      <c r="H40" s="428">
        <v>6296632.4304800006</v>
      </c>
      <c r="I40" s="429">
        <v>4961586.2065994823</v>
      </c>
      <c r="J40" s="428">
        <v>518559</v>
      </c>
      <c r="K40" s="430">
        <v>10739659.637079485</v>
      </c>
    </row>
    <row r="41" spans="1:11" ht="18" customHeight="1" x14ac:dyDescent="0.4">
      <c r="A41" s="1" t="s">
        <v>88</v>
      </c>
      <c r="B41" s="635" t="s">
        <v>50</v>
      </c>
      <c r="C41" s="636"/>
      <c r="F41" s="322">
        <v>624</v>
      </c>
      <c r="G41" s="433">
        <v>0</v>
      </c>
      <c r="H41" s="428">
        <v>139273</v>
      </c>
      <c r="I41" s="429">
        <v>109743.58172898028</v>
      </c>
      <c r="J41" s="428"/>
      <c r="K41" s="430">
        <v>249016.58172898029</v>
      </c>
    </row>
    <row r="42" spans="1:11" ht="18" customHeight="1" x14ac:dyDescent="0.4">
      <c r="A42" s="1" t="s">
        <v>89</v>
      </c>
      <c r="B42" s="94" t="s">
        <v>11</v>
      </c>
      <c r="F42" s="322">
        <v>1312</v>
      </c>
      <c r="G42" s="322">
        <v>4</v>
      </c>
      <c r="H42" s="428">
        <v>198754.81363378148</v>
      </c>
      <c r="I42" s="429">
        <v>156613.73801129538</v>
      </c>
      <c r="J42" s="428"/>
      <c r="K42" s="430">
        <v>355368.55164507683</v>
      </c>
    </row>
    <row r="43" spans="1:11" ht="18" customHeight="1" x14ac:dyDescent="0.4">
      <c r="A43" s="1" t="s">
        <v>90</v>
      </c>
      <c r="B43" s="94" t="s">
        <v>10</v>
      </c>
      <c r="F43" s="322"/>
      <c r="G43" s="322"/>
      <c r="H43" s="428"/>
      <c r="I43" s="429">
        <v>0</v>
      </c>
      <c r="J43" s="428"/>
      <c r="K43" s="430">
        <v>0</v>
      </c>
    </row>
    <row r="44" spans="1:11" ht="18" customHeight="1" x14ac:dyDescent="0.4">
      <c r="A44" s="1" t="s">
        <v>91</v>
      </c>
      <c r="B44" s="630"/>
      <c r="C44" s="631"/>
      <c r="D44" s="632"/>
      <c r="F44" s="322"/>
      <c r="G44" s="322"/>
      <c r="H44" s="428"/>
      <c r="I44" s="429">
        <v>0</v>
      </c>
      <c r="J44" s="428"/>
      <c r="K44" s="430">
        <v>0</v>
      </c>
    </row>
    <row r="45" spans="1:11" ht="18" customHeight="1" x14ac:dyDescent="0.4">
      <c r="A45" s="1" t="s">
        <v>139</v>
      </c>
      <c r="B45" s="630"/>
      <c r="C45" s="631"/>
      <c r="D45" s="632"/>
      <c r="F45" s="322"/>
      <c r="G45" s="322"/>
      <c r="H45" s="428"/>
      <c r="I45" s="429">
        <v>0</v>
      </c>
      <c r="J45" s="428"/>
      <c r="K45" s="430">
        <v>0</v>
      </c>
    </row>
    <row r="46" spans="1:11" ht="18" customHeight="1" x14ac:dyDescent="0.4">
      <c r="A46" s="1" t="s">
        <v>140</v>
      </c>
      <c r="B46" s="630"/>
      <c r="C46" s="631"/>
      <c r="D46" s="632"/>
      <c r="F46" s="322"/>
      <c r="G46" s="322"/>
      <c r="H46" s="428"/>
      <c r="I46" s="429">
        <v>0</v>
      </c>
      <c r="J46" s="428"/>
      <c r="K46" s="430">
        <v>0</v>
      </c>
    </row>
    <row r="47" spans="1:11" ht="18" customHeight="1" x14ac:dyDescent="0.4">
      <c r="A47" s="1" t="s">
        <v>141</v>
      </c>
      <c r="B47" s="630"/>
      <c r="C47" s="631"/>
      <c r="D47" s="632"/>
      <c r="F47" s="322"/>
      <c r="G47" s="322"/>
      <c r="H47" s="428"/>
      <c r="I47" s="429">
        <v>0</v>
      </c>
      <c r="J47" s="428"/>
      <c r="K47" s="430">
        <v>0</v>
      </c>
    </row>
    <row r="48" spans="1:11" ht="18" customHeight="1" x14ac:dyDescent="0.4">
      <c r="F48" s="212"/>
      <c r="G48" s="212"/>
      <c r="H48" s="431"/>
      <c r="I48" s="431"/>
      <c r="J48" s="431"/>
      <c r="K48" s="431"/>
    </row>
    <row r="49" spans="1:11" ht="18" customHeight="1" x14ac:dyDescent="0.4">
      <c r="A49" s="98" t="s">
        <v>142</v>
      </c>
      <c r="B49" s="95" t="s">
        <v>143</v>
      </c>
      <c r="E49" s="95" t="s">
        <v>7</v>
      </c>
      <c r="F49" s="321">
        <f t="shared" ref="F49:K49" si="1">SUM(F40:F47)</f>
        <v>135487.54</v>
      </c>
      <c r="G49" s="321">
        <f t="shared" si="1"/>
        <v>4</v>
      </c>
      <c r="H49" s="430">
        <f t="shared" si="1"/>
        <v>6634660.2441137824</v>
      </c>
      <c r="I49" s="430">
        <f t="shared" si="1"/>
        <v>5227943.5263397573</v>
      </c>
      <c r="J49" s="430">
        <f t="shared" si="1"/>
        <v>518559</v>
      </c>
      <c r="K49" s="430">
        <f t="shared" si="1"/>
        <v>11344044.770453542</v>
      </c>
    </row>
    <row r="50" spans="1:11" ht="18" customHeight="1" thickBot="1" x14ac:dyDescent="0.45">
      <c r="F50" s="212"/>
      <c r="G50" s="434"/>
      <c r="H50" s="245"/>
      <c r="I50" s="245"/>
      <c r="J50" s="245"/>
      <c r="K50" s="245"/>
    </row>
    <row r="51" spans="1:11" ht="42.75" customHeight="1" x14ac:dyDescent="0.4">
      <c r="F51" s="255" t="s">
        <v>9</v>
      </c>
      <c r="G51" s="255" t="s">
        <v>37</v>
      </c>
      <c r="H51" s="89" t="s">
        <v>29</v>
      </c>
      <c r="I51" s="89" t="s">
        <v>30</v>
      </c>
      <c r="J51" s="89" t="s">
        <v>33</v>
      </c>
      <c r="K51" s="89" t="s">
        <v>34</v>
      </c>
    </row>
    <row r="52" spans="1:11" ht="18" customHeight="1" x14ac:dyDescent="0.4">
      <c r="A52" s="98" t="s">
        <v>92</v>
      </c>
      <c r="B52" s="656" t="s">
        <v>38</v>
      </c>
      <c r="C52" s="657"/>
      <c r="F52" s="212"/>
      <c r="G52" s="212"/>
      <c r="H52" s="241"/>
      <c r="I52" s="241"/>
      <c r="J52" s="241"/>
      <c r="K52" s="241"/>
    </row>
    <row r="53" spans="1:11" ht="18" customHeight="1" x14ac:dyDescent="0.4">
      <c r="A53" s="1" t="s">
        <v>51</v>
      </c>
      <c r="B53" s="658" t="s">
        <v>612</v>
      </c>
      <c r="C53" s="659"/>
      <c r="D53" s="654"/>
      <c r="F53" s="322"/>
      <c r="G53" s="322">
        <v>78280.479999999996</v>
      </c>
      <c r="H53" s="428">
        <v>3914024</v>
      </c>
      <c r="I53" s="429">
        <v>3084151.362670369</v>
      </c>
      <c r="J53" s="428"/>
      <c r="K53" s="430">
        <v>6998175.3626703694</v>
      </c>
    </row>
    <row r="54" spans="1:11" ht="18" customHeight="1" x14ac:dyDescent="0.4">
      <c r="A54" s="1" t="s">
        <v>93</v>
      </c>
      <c r="B54" s="400" t="s">
        <v>459</v>
      </c>
      <c r="C54" s="401"/>
      <c r="D54" s="402"/>
      <c r="F54" s="322"/>
      <c r="G54" s="322"/>
      <c r="H54" s="428">
        <v>2773794.9521839339</v>
      </c>
      <c r="I54" s="429">
        <v>2185679.8735895008</v>
      </c>
      <c r="J54" s="428"/>
      <c r="K54" s="430">
        <v>4959474.8257734347</v>
      </c>
    </row>
    <row r="55" spans="1:11" ht="18" customHeight="1" x14ac:dyDescent="0.4">
      <c r="A55" s="1" t="s">
        <v>94</v>
      </c>
      <c r="B55" s="655" t="s">
        <v>613</v>
      </c>
      <c r="C55" s="653"/>
      <c r="D55" s="654"/>
      <c r="F55" s="322"/>
      <c r="G55" s="322"/>
      <c r="H55" s="428">
        <v>2902956.1661310159</v>
      </c>
      <c r="I55" s="429">
        <v>2287455.6250920594</v>
      </c>
      <c r="J55" s="428"/>
      <c r="K55" s="430">
        <v>5190411.7912230752</v>
      </c>
    </row>
    <row r="56" spans="1:11" ht="18" customHeight="1" x14ac:dyDescent="0.4">
      <c r="A56" s="1" t="s">
        <v>95</v>
      </c>
      <c r="B56" s="655" t="s">
        <v>423</v>
      </c>
      <c r="C56" s="653"/>
      <c r="D56" s="654"/>
      <c r="F56" s="322">
        <v>8301.8623636363627</v>
      </c>
      <c r="G56" s="322"/>
      <c r="H56" s="428">
        <v>913204.86</v>
      </c>
      <c r="I56" s="429">
        <v>719582.20321750804</v>
      </c>
      <c r="J56" s="428"/>
      <c r="K56" s="430">
        <v>1632787.0632175081</v>
      </c>
    </row>
    <row r="57" spans="1:11" ht="18" customHeight="1" x14ac:dyDescent="0.4">
      <c r="A57" s="1" t="s">
        <v>96</v>
      </c>
      <c r="B57" s="655" t="s">
        <v>425</v>
      </c>
      <c r="C57" s="653"/>
      <c r="D57" s="654"/>
      <c r="F57" s="322">
        <v>8283</v>
      </c>
      <c r="G57" s="322"/>
      <c r="H57" s="428">
        <v>170809</v>
      </c>
      <c r="I57" s="429">
        <v>134593.14764200809</v>
      </c>
      <c r="J57" s="428">
        <v>177276</v>
      </c>
      <c r="K57" s="430">
        <v>128126.14764200809</v>
      </c>
    </row>
    <row r="58" spans="1:11" ht="18" customHeight="1" x14ac:dyDescent="0.4">
      <c r="A58" s="1" t="s">
        <v>97</v>
      </c>
      <c r="B58" s="400" t="s">
        <v>308</v>
      </c>
      <c r="C58" s="401"/>
      <c r="D58" s="402"/>
      <c r="F58" s="322">
        <v>3770</v>
      </c>
      <c r="G58" s="322">
        <v>591</v>
      </c>
      <c r="H58" s="428">
        <v>176025</v>
      </c>
      <c r="I58" s="429">
        <v>138703.2229782065</v>
      </c>
      <c r="J58" s="428">
        <v>133265</v>
      </c>
      <c r="K58" s="430">
        <v>181463.22297820647</v>
      </c>
    </row>
    <row r="59" spans="1:11" ht="18" customHeight="1" x14ac:dyDescent="0.4">
      <c r="A59" s="1" t="s">
        <v>98</v>
      </c>
      <c r="B59" s="655" t="s">
        <v>460</v>
      </c>
      <c r="C59" s="653"/>
      <c r="D59" s="654"/>
      <c r="F59" s="322">
        <v>3858</v>
      </c>
      <c r="G59" s="322">
        <v>383</v>
      </c>
      <c r="H59" s="428">
        <v>538628.34239999996</v>
      </c>
      <c r="I59" s="429">
        <v>424425.43433199235</v>
      </c>
      <c r="J59" s="428">
        <v>472343.57000000007</v>
      </c>
      <c r="K59" s="430">
        <v>490710.20673199231</v>
      </c>
    </row>
    <row r="60" spans="1:11" ht="18" customHeight="1" x14ac:dyDescent="0.4">
      <c r="A60" s="1" t="s">
        <v>99</v>
      </c>
      <c r="B60" s="400" t="s">
        <v>424</v>
      </c>
      <c r="C60" s="401"/>
      <c r="D60" s="402"/>
      <c r="F60" s="433">
        <v>0</v>
      </c>
      <c r="G60" s="322">
        <v>6598</v>
      </c>
      <c r="H60" s="428">
        <v>151726.39999999999</v>
      </c>
      <c r="I60" s="429">
        <v>119556.54418906718</v>
      </c>
      <c r="J60" s="428"/>
      <c r="K60" s="430">
        <v>271282.94418906717</v>
      </c>
    </row>
    <row r="61" spans="1:11" ht="18" customHeight="1" x14ac:dyDescent="0.4">
      <c r="A61" s="1" t="s">
        <v>100</v>
      </c>
      <c r="B61" s="400" t="s">
        <v>527</v>
      </c>
      <c r="C61" s="401"/>
      <c r="D61" s="402"/>
      <c r="F61" s="322">
        <v>22855</v>
      </c>
      <c r="G61" s="322">
        <v>673</v>
      </c>
      <c r="H61" s="428">
        <v>649532.22560000024</v>
      </c>
      <c r="I61" s="429">
        <v>511814.87356300279</v>
      </c>
      <c r="J61" s="428"/>
      <c r="K61" s="430">
        <v>1161347.099163003</v>
      </c>
    </row>
    <row r="62" spans="1:11" ht="18" customHeight="1" x14ac:dyDescent="0.4">
      <c r="A62" s="1" t="s">
        <v>101</v>
      </c>
      <c r="B62" s="655" t="s">
        <v>528</v>
      </c>
      <c r="C62" s="653"/>
      <c r="D62" s="654"/>
      <c r="F62" s="322">
        <v>3722.1052631578946</v>
      </c>
      <c r="G62" s="322">
        <v>97</v>
      </c>
      <c r="H62" s="428">
        <v>257277.10526315789</v>
      </c>
      <c r="I62" s="429">
        <v>202727.81535863256</v>
      </c>
      <c r="J62" s="428"/>
      <c r="K62" s="430">
        <v>460004.92062179046</v>
      </c>
    </row>
    <row r="63" spans="1:11" ht="18" customHeight="1" x14ac:dyDescent="0.4">
      <c r="A63" s="1"/>
      <c r="F63" s="212"/>
      <c r="G63" s="212"/>
      <c r="H63" s="431"/>
      <c r="I63" s="435"/>
      <c r="J63" s="431"/>
      <c r="K63" s="431"/>
    </row>
    <row r="64" spans="1:11" ht="18" customHeight="1" x14ac:dyDescent="0.4">
      <c r="A64" s="1" t="s">
        <v>144</v>
      </c>
      <c r="B64" s="95" t="s">
        <v>145</v>
      </c>
      <c r="E64" s="95" t="s">
        <v>7</v>
      </c>
      <c r="F64" s="321">
        <f t="shared" ref="F64:K64" si="2">SUM(F53:F62)</f>
        <v>50789.967626794256</v>
      </c>
      <c r="G64" s="321">
        <f t="shared" si="2"/>
        <v>86622.48</v>
      </c>
      <c r="H64" s="430">
        <f t="shared" si="2"/>
        <v>12447978.051578108</v>
      </c>
      <c r="I64" s="430">
        <f t="shared" si="2"/>
        <v>9808690.1026323494</v>
      </c>
      <c r="J64" s="430">
        <f t="shared" si="2"/>
        <v>782884.57000000007</v>
      </c>
      <c r="K64" s="430">
        <f t="shared" si="2"/>
        <v>21473783.584210463</v>
      </c>
    </row>
    <row r="65" spans="1:12" ht="18" customHeight="1" x14ac:dyDescent="0.4">
      <c r="F65" s="436"/>
      <c r="G65" s="436"/>
      <c r="H65" s="256"/>
      <c r="I65" s="256"/>
      <c r="J65" s="256"/>
      <c r="K65" s="256"/>
    </row>
    <row r="66" spans="1:12" ht="42.75" customHeight="1" x14ac:dyDescent="0.4">
      <c r="F66" s="437" t="s">
        <v>9</v>
      </c>
      <c r="G66" s="437" t="s">
        <v>37</v>
      </c>
      <c r="H66" s="247" t="s">
        <v>29</v>
      </c>
      <c r="I66" s="247" t="s">
        <v>30</v>
      </c>
      <c r="J66" s="247" t="s">
        <v>33</v>
      </c>
      <c r="K66" s="247" t="s">
        <v>34</v>
      </c>
    </row>
    <row r="67" spans="1:12" ht="18" customHeight="1" x14ac:dyDescent="0.4">
      <c r="A67" s="98" t="s">
        <v>102</v>
      </c>
      <c r="B67" s="95" t="s">
        <v>12</v>
      </c>
      <c r="F67" s="438"/>
      <c r="G67" s="438"/>
      <c r="H67" s="248"/>
      <c r="I67" s="249"/>
      <c r="J67" s="248"/>
      <c r="K67" s="248"/>
    </row>
    <row r="68" spans="1:12" ht="18" customHeight="1" x14ac:dyDescent="0.4">
      <c r="A68" s="1" t="s">
        <v>103</v>
      </c>
      <c r="B68" t="s">
        <v>52</v>
      </c>
      <c r="F68" s="322"/>
      <c r="G68" s="322"/>
      <c r="H68" s="428"/>
      <c r="I68" s="429">
        <v>0</v>
      </c>
      <c r="J68" s="428"/>
      <c r="K68" s="430">
        <v>0</v>
      </c>
    </row>
    <row r="69" spans="1:12" ht="18" customHeight="1" x14ac:dyDescent="0.4">
      <c r="A69" s="1" t="s">
        <v>104</v>
      </c>
      <c r="B69" s="94" t="s">
        <v>53</v>
      </c>
      <c r="F69" s="322">
        <v>7960</v>
      </c>
      <c r="G69" s="322">
        <v>1832</v>
      </c>
      <c r="H69" s="428">
        <v>626589</v>
      </c>
      <c r="I69" s="429">
        <v>493736.19532845583</v>
      </c>
      <c r="J69" s="439" t="s">
        <v>85</v>
      </c>
      <c r="K69" s="430">
        <v>1120325.1953284559</v>
      </c>
    </row>
    <row r="70" spans="1:12" ht="18" customHeight="1" x14ac:dyDescent="0.4">
      <c r="A70" s="1" t="s">
        <v>178</v>
      </c>
      <c r="B70" s="400"/>
      <c r="C70" s="401"/>
      <c r="D70" s="402"/>
      <c r="E70" s="95"/>
      <c r="F70" s="322"/>
      <c r="G70" s="322"/>
      <c r="H70" s="428"/>
      <c r="I70" s="429">
        <v>0</v>
      </c>
      <c r="J70" s="428"/>
      <c r="K70" s="430">
        <v>0</v>
      </c>
    </row>
    <row r="71" spans="1:12" ht="18" customHeight="1" x14ac:dyDescent="0.4">
      <c r="A71" s="1" t="s">
        <v>179</v>
      </c>
      <c r="B71" s="400"/>
      <c r="C71" s="401"/>
      <c r="D71" s="402"/>
      <c r="E71" s="95"/>
      <c r="F71" s="440"/>
      <c r="G71" s="440"/>
      <c r="H71" s="441"/>
      <c r="I71" s="429">
        <v>0</v>
      </c>
      <c r="J71" s="428"/>
      <c r="K71" s="430">
        <v>0</v>
      </c>
    </row>
    <row r="72" spans="1:12" ht="18" customHeight="1" x14ac:dyDescent="0.4">
      <c r="A72" s="1" t="s">
        <v>180</v>
      </c>
      <c r="B72" s="406"/>
      <c r="C72" s="407"/>
      <c r="D72" s="408"/>
      <c r="E72" s="95"/>
      <c r="F72" s="322"/>
      <c r="G72" s="322"/>
      <c r="H72" s="428"/>
      <c r="I72" s="429">
        <v>0</v>
      </c>
      <c r="J72" s="428"/>
      <c r="K72" s="430">
        <v>0</v>
      </c>
    </row>
    <row r="73" spans="1:12" ht="18" customHeight="1" x14ac:dyDescent="0.4">
      <c r="A73" s="1"/>
      <c r="B73" s="94"/>
      <c r="E73" s="95"/>
      <c r="F73" s="442"/>
      <c r="G73" s="442"/>
      <c r="H73" s="443"/>
      <c r="I73" s="444"/>
      <c r="J73" s="443"/>
      <c r="K73" s="445"/>
    </row>
    <row r="74" spans="1:12" ht="18" customHeight="1" x14ac:dyDescent="0.4">
      <c r="A74" s="98" t="s">
        <v>146</v>
      </c>
      <c r="B74" s="95" t="s">
        <v>147</v>
      </c>
      <c r="E74" s="95" t="s">
        <v>7</v>
      </c>
      <c r="F74" s="324">
        <f t="shared" ref="F74:K74" si="3">SUM(F68:F72)</f>
        <v>7960</v>
      </c>
      <c r="G74" s="324">
        <f t="shared" si="3"/>
        <v>1832</v>
      </c>
      <c r="H74" s="446">
        <f t="shared" si="3"/>
        <v>626589</v>
      </c>
      <c r="I74" s="447">
        <f t="shared" si="3"/>
        <v>493736.19532845583</v>
      </c>
      <c r="J74" s="446">
        <f t="shared" si="3"/>
        <v>0</v>
      </c>
      <c r="K74" s="446">
        <f t="shared" si="3"/>
        <v>1120325.1953284559</v>
      </c>
    </row>
    <row r="75" spans="1:12" ht="42.75" customHeight="1" x14ac:dyDescent="0.4">
      <c r="F75" s="255" t="s">
        <v>9</v>
      </c>
      <c r="G75" s="255" t="s">
        <v>37</v>
      </c>
      <c r="H75" s="89" t="s">
        <v>29</v>
      </c>
      <c r="I75" s="89" t="s">
        <v>30</v>
      </c>
      <c r="J75" s="89" t="s">
        <v>33</v>
      </c>
      <c r="K75" s="89" t="s">
        <v>34</v>
      </c>
    </row>
    <row r="76" spans="1:12" ht="18" customHeight="1" x14ac:dyDescent="0.4">
      <c r="A76" s="98" t="s">
        <v>105</v>
      </c>
      <c r="B76" s="95" t="s">
        <v>106</v>
      </c>
      <c r="F76" s="212"/>
      <c r="G76" s="212"/>
      <c r="H76" s="241"/>
      <c r="I76" s="241"/>
      <c r="J76" s="241"/>
      <c r="K76" s="241"/>
    </row>
    <row r="77" spans="1:12" ht="18" customHeight="1" x14ac:dyDescent="0.4">
      <c r="A77" s="1" t="s">
        <v>107</v>
      </c>
      <c r="B77" s="94" t="s">
        <v>54</v>
      </c>
      <c r="F77" s="322"/>
      <c r="G77" s="322"/>
      <c r="H77" s="428">
        <v>1701130.32</v>
      </c>
      <c r="I77" s="429">
        <v>170113.03200000001</v>
      </c>
      <c r="J77" s="428"/>
      <c r="K77" s="430">
        <v>1871243.352</v>
      </c>
    </row>
    <row r="78" spans="1:12" ht="18" customHeight="1" x14ac:dyDescent="0.4">
      <c r="A78" s="1" t="s">
        <v>108</v>
      </c>
      <c r="B78" s="94" t="s">
        <v>55</v>
      </c>
      <c r="F78" s="322"/>
      <c r="G78" s="322"/>
      <c r="H78" s="428"/>
      <c r="I78" s="429">
        <v>0</v>
      </c>
      <c r="J78" s="428"/>
      <c r="K78" s="430">
        <v>0</v>
      </c>
      <c r="L78" s="131"/>
    </row>
    <row r="79" spans="1:12" ht="18" customHeight="1" x14ac:dyDescent="0.4">
      <c r="A79" s="1" t="s">
        <v>109</v>
      </c>
      <c r="B79" s="94" t="s">
        <v>13</v>
      </c>
      <c r="F79" s="322">
        <v>1585</v>
      </c>
      <c r="G79" s="322">
        <v>294</v>
      </c>
      <c r="H79" s="428">
        <v>91773.11</v>
      </c>
      <c r="I79" s="429">
        <v>72314.876521706989</v>
      </c>
      <c r="J79" s="428"/>
      <c r="K79" s="430">
        <v>164087.98652170697</v>
      </c>
    </row>
    <row r="80" spans="1:12" ht="18" customHeight="1" x14ac:dyDescent="0.4">
      <c r="A80" s="1" t="s">
        <v>110</v>
      </c>
      <c r="B80" s="94" t="s">
        <v>56</v>
      </c>
      <c r="F80" s="322">
        <v>160</v>
      </c>
      <c r="G80" s="322">
        <v>15</v>
      </c>
      <c r="H80" s="428">
        <v>162669.91461431966</v>
      </c>
      <c r="I80" s="429">
        <v>128179.75536767954</v>
      </c>
      <c r="J80" s="428"/>
      <c r="K80" s="430">
        <v>290849.66998199915</v>
      </c>
    </row>
    <row r="81" spans="1:11" ht="18" customHeight="1" x14ac:dyDescent="0.4">
      <c r="A81" s="1"/>
      <c r="F81" s="212"/>
      <c r="G81" s="212"/>
      <c r="H81" s="431"/>
      <c r="I81" s="431"/>
      <c r="J81" s="431"/>
      <c r="K81" s="448"/>
    </row>
    <row r="82" spans="1:11" ht="18" customHeight="1" x14ac:dyDescent="0.4">
      <c r="A82" s="1" t="s">
        <v>148</v>
      </c>
      <c r="B82" s="95" t="s">
        <v>149</v>
      </c>
      <c r="E82" s="95" t="s">
        <v>7</v>
      </c>
      <c r="F82" s="324">
        <f t="shared" ref="F82:K82" si="4">SUM(F77:F80)</f>
        <v>1745</v>
      </c>
      <c r="G82" s="324">
        <f t="shared" si="4"/>
        <v>309</v>
      </c>
      <c r="H82" s="446">
        <f t="shared" si="4"/>
        <v>1955573.3446143197</v>
      </c>
      <c r="I82" s="446">
        <f t="shared" si="4"/>
        <v>370607.66388938652</v>
      </c>
      <c r="J82" s="446">
        <f t="shared" si="4"/>
        <v>0</v>
      </c>
      <c r="K82" s="446">
        <f t="shared" si="4"/>
        <v>2326181.0085037062</v>
      </c>
    </row>
    <row r="83" spans="1:11" ht="18" customHeight="1" thickBot="1" x14ac:dyDescent="0.45">
      <c r="A83" s="1"/>
      <c r="F83" s="434"/>
      <c r="G83" s="434"/>
      <c r="H83" s="245"/>
      <c r="I83" s="245"/>
      <c r="J83" s="245"/>
      <c r="K83" s="245"/>
    </row>
    <row r="84" spans="1:11" ht="42.75" customHeight="1" x14ac:dyDescent="0.4">
      <c r="F84" s="255" t="s">
        <v>9</v>
      </c>
      <c r="G84" s="255" t="s">
        <v>37</v>
      </c>
      <c r="H84" s="89" t="s">
        <v>29</v>
      </c>
      <c r="I84" s="89" t="s">
        <v>30</v>
      </c>
      <c r="J84" s="89" t="s">
        <v>33</v>
      </c>
      <c r="K84" s="89" t="s">
        <v>34</v>
      </c>
    </row>
    <row r="85" spans="1:11" ht="18" customHeight="1" x14ac:dyDescent="0.4">
      <c r="A85" s="98" t="s">
        <v>111</v>
      </c>
      <c r="B85" s="95" t="s">
        <v>57</v>
      </c>
      <c r="F85" s="212"/>
      <c r="G85" s="212"/>
      <c r="H85" s="241"/>
      <c r="I85" s="241"/>
      <c r="J85" s="241"/>
      <c r="K85" s="241"/>
    </row>
    <row r="86" spans="1:11" ht="18" customHeight="1" x14ac:dyDescent="0.4">
      <c r="A86" s="1" t="s">
        <v>112</v>
      </c>
      <c r="B86" s="94" t="s">
        <v>113</v>
      </c>
      <c r="F86" s="322"/>
      <c r="G86" s="322">
        <v>13103</v>
      </c>
      <c r="H86" s="428">
        <v>194387</v>
      </c>
      <c r="I86" s="429">
        <v>153172.01195889578</v>
      </c>
      <c r="J86" s="428"/>
      <c r="K86" s="430">
        <v>347559.01195889578</v>
      </c>
    </row>
    <row r="87" spans="1:11" ht="18" customHeight="1" x14ac:dyDescent="0.4">
      <c r="A87" s="1" t="s">
        <v>114</v>
      </c>
      <c r="B87" s="94" t="s">
        <v>14</v>
      </c>
      <c r="F87" s="322">
        <v>1279</v>
      </c>
      <c r="G87" s="322">
        <v>361</v>
      </c>
      <c r="H87" s="428">
        <v>419354</v>
      </c>
      <c r="I87" s="429">
        <v>330440.2861457339</v>
      </c>
      <c r="J87" s="428">
        <v>162306.68</v>
      </c>
      <c r="K87" s="430">
        <v>587487.60614573397</v>
      </c>
    </row>
    <row r="88" spans="1:11" ht="18" customHeight="1" x14ac:dyDescent="0.4">
      <c r="A88" s="1" t="s">
        <v>115</v>
      </c>
      <c r="B88" s="94" t="s">
        <v>116</v>
      </c>
      <c r="F88" s="322">
        <v>66144</v>
      </c>
      <c r="G88" s="322">
        <v>6</v>
      </c>
      <c r="H88" s="428">
        <v>2405815.5226666671</v>
      </c>
      <c r="I88" s="429">
        <v>1895721.4423227673</v>
      </c>
      <c r="J88" s="428"/>
      <c r="K88" s="430">
        <v>4301536.964989434</v>
      </c>
    </row>
    <row r="89" spans="1:11" ht="18" customHeight="1" x14ac:dyDescent="0.4">
      <c r="A89" s="1" t="s">
        <v>117</v>
      </c>
      <c r="B89" s="94" t="s">
        <v>58</v>
      </c>
      <c r="F89" s="322"/>
      <c r="G89" s="322"/>
      <c r="H89" s="428"/>
      <c r="I89" s="429">
        <v>0</v>
      </c>
      <c r="J89" s="428"/>
      <c r="K89" s="430">
        <v>0</v>
      </c>
    </row>
    <row r="90" spans="1:11" ht="18" customHeight="1" x14ac:dyDescent="0.4">
      <c r="A90" s="1" t="s">
        <v>118</v>
      </c>
      <c r="B90" s="635" t="s">
        <v>59</v>
      </c>
      <c r="C90" s="636"/>
      <c r="F90" s="322">
        <v>5088</v>
      </c>
      <c r="G90" s="322">
        <v>119</v>
      </c>
      <c r="H90" s="428">
        <v>185691.2</v>
      </c>
      <c r="I90" s="429">
        <v>146319.942727969</v>
      </c>
      <c r="J90" s="428"/>
      <c r="K90" s="430">
        <v>332011.14272796898</v>
      </c>
    </row>
    <row r="91" spans="1:11" ht="18" customHeight="1" x14ac:dyDescent="0.4">
      <c r="A91" s="1" t="s">
        <v>119</v>
      </c>
      <c r="B91" s="94" t="s">
        <v>60</v>
      </c>
      <c r="F91" s="322"/>
      <c r="G91" s="322"/>
      <c r="H91" s="428"/>
      <c r="I91" s="429">
        <v>0</v>
      </c>
      <c r="J91" s="428"/>
      <c r="K91" s="430">
        <v>0</v>
      </c>
    </row>
    <row r="92" spans="1:11" ht="18" customHeight="1" x14ac:dyDescent="0.4">
      <c r="A92" s="1" t="s">
        <v>120</v>
      </c>
      <c r="B92" s="94" t="s">
        <v>121</v>
      </c>
      <c r="F92" s="322"/>
      <c r="G92" s="322"/>
      <c r="H92" s="428"/>
      <c r="I92" s="429">
        <v>0</v>
      </c>
      <c r="J92" s="428"/>
      <c r="K92" s="430">
        <v>0</v>
      </c>
    </row>
    <row r="93" spans="1:11" ht="18" customHeight="1" x14ac:dyDescent="0.4">
      <c r="A93" s="1" t="s">
        <v>122</v>
      </c>
      <c r="B93" s="94" t="s">
        <v>123</v>
      </c>
      <c r="F93" s="322">
        <v>757</v>
      </c>
      <c r="G93" s="322"/>
      <c r="H93" s="428">
        <v>231238.80499999996</v>
      </c>
      <c r="I93" s="429">
        <v>182210.29700968048</v>
      </c>
      <c r="J93" s="428"/>
      <c r="K93" s="430">
        <v>413449.10200968047</v>
      </c>
    </row>
    <row r="94" spans="1:11" ht="18" customHeight="1" x14ac:dyDescent="0.4">
      <c r="A94" s="1" t="s">
        <v>124</v>
      </c>
      <c r="B94" s="655"/>
      <c r="C94" s="653"/>
      <c r="D94" s="654"/>
      <c r="F94" s="322"/>
      <c r="G94" s="322"/>
      <c r="H94" s="428"/>
      <c r="I94" s="429">
        <v>0</v>
      </c>
      <c r="J94" s="428"/>
      <c r="K94" s="430">
        <v>0</v>
      </c>
    </row>
    <row r="95" spans="1:11" ht="18" customHeight="1" x14ac:dyDescent="0.4">
      <c r="A95" s="1" t="s">
        <v>125</v>
      </c>
      <c r="B95" s="655"/>
      <c r="C95" s="653"/>
      <c r="D95" s="654"/>
      <c r="F95" s="322"/>
      <c r="G95" s="322"/>
      <c r="H95" s="428"/>
      <c r="I95" s="429">
        <v>0</v>
      </c>
      <c r="J95" s="428"/>
      <c r="K95" s="430">
        <v>0</v>
      </c>
    </row>
    <row r="96" spans="1:11" ht="18" customHeight="1" x14ac:dyDescent="0.4">
      <c r="A96" s="1" t="s">
        <v>126</v>
      </c>
      <c r="B96" s="655"/>
      <c r="C96" s="653"/>
      <c r="D96" s="654"/>
      <c r="F96" s="322"/>
      <c r="G96" s="322"/>
      <c r="H96" s="428"/>
      <c r="I96" s="429">
        <v>0</v>
      </c>
      <c r="J96" s="428"/>
      <c r="K96" s="430">
        <v>0</v>
      </c>
    </row>
    <row r="97" spans="1:11" ht="18" customHeight="1" x14ac:dyDescent="0.4">
      <c r="A97" s="1"/>
      <c r="B97" s="94"/>
      <c r="F97" s="212"/>
      <c r="G97" s="212"/>
      <c r="H97" s="431"/>
      <c r="I97" s="431"/>
      <c r="J97" s="431"/>
      <c r="K97" s="431"/>
    </row>
    <row r="98" spans="1:11" ht="18" customHeight="1" x14ac:dyDescent="0.4">
      <c r="A98" s="98" t="s">
        <v>150</v>
      </c>
      <c r="B98" s="95" t="s">
        <v>151</v>
      </c>
      <c r="E98" s="95" t="s">
        <v>7</v>
      </c>
      <c r="F98" s="321">
        <f t="shared" ref="F98:K98" si="5">SUM(F86:F96)</f>
        <v>73268</v>
      </c>
      <c r="G98" s="321">
        <f t="shared" si="5"/>
        <v>13589</v>
      </c>
      <c r="H98" s="430">
        <f t="shared" si="5"/>
        <v>3436486.5276666675</v>
      </c>
      <c r="I98" s="430">
        <f t="shared" si="5"/>
        <v>2707863.9801650466</v>
      </c>
      <c r="J98" s="430">
        <f t="shared" si="5"/>
        <v>162306.68</v>
      </c>
      <c r="K98" s="430">
        <f t="shared" si="5"/>
        <v>5982043.8278317135</v>
      </c>
    </row>
    <row r="99" spans="1:11" ht="18" customHeight="1" thickBot="1" x14ac:dyDescent="0.45">
      <c r="B99" s="95"/>
      <c r="F99" s="434"/>
      <c r="G99" s="434"/>
      <c r="H99" s="245"/>
      <c r="I99" s="245"/>
      <c r="J99" s="245"/>
      <c r="K99" s="245"/>
    </row>
    <row r="100" spans="1:11" ht="42.75" customHeight="1" x14ac:dyDescent="0.4">
      <c r="F100" s="255" t="s">
        <v>9</v>
      </c>
      <c r="G100" s="255" t="s">
        <v>37</v>
      </c>
      <c r="H100" s="89" t="s">
        <v>29</v>
      </c>
      <c r="I100" s="89" t="s">
        <v>30</v>
      </c>
      <c r="J100" s="89" t="s">
        <v>33</v>
      </c>
      <c r="K100" s="89" t="s">
        <v>34</v>
      </c>
    </row>
    <row r="101" spans="1:11" ht="18" customHeight="1" x14ac:dyDescent="0.4">
      <c r="A101" s="98" t="s">
        <v>130</v>
      </c>
      <c r="B101" s="95" t="s">
        <v>63</v>
      </c>
      <c r="F101" s="212"/>
      <c r="G101" s="212"/>
      <c r="H101" s="241"/>
      <c r="I101" s="241"/>
      <c r="J101" s="241"/>
      <c r="K101" s="241"/>
    </row>
    <row r="102" spans="1:11" ht="18" customHeight="1" x14ac:dyDescent="0.4">
      <c r="A102" s="1" t="s">
        <v>131</v>
      </c>
      <c r="B102" s="94" t="s">
        <v>152</v>
      </c>
      <c r="F102" s="322">
        <v>2723</v>
      </c>
      <c r="G102" s="449">
        <v>0</v>
      </c>
      <c r="H102" s="428">
        <v>136731.57271726991</v>
      </c>
      <c r="I102" s="429">
        <v>107741.00166887854</v>
      </c>
      <c r="J102" s="439" t="s">
        <v>85</v>
      </c>
      <c r="K102" s="430">
        <v>244472.57438614845</v>
      </c>
    </row>
    <row r="103" spans="1:11" ht="18" customHeight="1" x14ac:dyDescent="0.4">
      <c r="A103" s="1" t="s">
        <v>132</v>
      </c>
      <c r="B103" s="635" t="s">
        <v>62</v>
      </c>
      <c r="C103" s="635"/>
      <c r="F103" s="322"/>
      <c r="G103" s="450" t="s">
        <v>85</v>
      </c>
      <c r="H103" s="439" t="s">
        <v>85</v>
      </c>
      <c r="I103" s="429">
        <v>0</v>
      </c>
      <c r="J103" s="428"/>
      <c r="K103" s="430">
        <v>0</v>
      </c>
    </row>
    <row r="104" spans="1:11" ht="18" customHeight="1" x14ac:dyDescent="0.4">
      <c r="A104" s="1" t="s">
        <v>128</v>
      </c>
      <c r="B104" s="655"/>
      <c r="C104" s="653"/>
      <c r="D104" s="654"/>
      <c r="F104" s="322"/>
      <c r="G104" s="322"/>
      <c r="H104" s="428"/>
      <c r="I104" s="429">
        <v>0</v>
      </c>
      <c r="J104" s="428"/>
      <c r="K104" s="430">
        <v>0</v>
      </c>
    </row>
    <row r="105" spans="1:11" ht="18" customHeight="1" x14ac:dyDescent="0.4">
      <c r="A105" s="1" t="s">
        <v>127</v>
      </c>
      <c r="B105" s="655"/>
      <c r="C105" s="653"/>
      <c r="D105" s="654"/>
      <c r="F105" s="322"/>
      <c r="G105" s="322"/>
      <c r="H105" s="428"/>
      <c r="I105" s="429">
        <v>0</v>
      </c>
      <c r="J105" s="428"/>
      <c r="K105" s="430">
        <v>0</v>
      </c>
    </row>
    <row r="106" spans="1:11" ht="18" customHeight="1" x14ac:dyDescent="0.4">
      <c r="A106" s="1" t="s">
        <v>129</v>
      </c>
      <c r="B106" s="655"/>
      <c r="C106" s="653"/>
      <c r="D106" s="654"/>
      <c r="F106" s="322"/>
      <c r="G106" s="322"/>
      <c r="H106" s="428"/>
      <c r="I106" s="429">
        <v>0</v>
      </c>
      <c r="J106" s="428"/>
      <c r="K106" s="430">
        <v>0</v>
      </c>
    </row>
    <row r="107" spans="1:11" ht="18" customHeight="1" x14ac:dyDescent="0.4">
      <c r="B107" s="95"/>
      <c r="F107" s="212"/>
      <c r="G107" s="212"/>
      <c r="H107" s="431"/>
      <c r="I107" s="431"/>
      <c r="J107" s="431"/>
      <c r="K107" s="431"/>
    </row>
    <row r="108" spans="1:11" ht="18" customHeight="1" x14ac:dyDescent="0.4">
      <c r="A108" s="98" t="s">
        <v>153</v>
      </c>
      <c r="B108" s="95" t="s">
        <v>154</v>
      </c>
      <c r="E108" s="95" t="s">
        <v>7</v>
      </c>
      <c r="F108" s="321">
        <f t="shared" ref="F108:K108" si="6">SUM(F102:F106)</f>
        <v>2723</v>
      </c>
      <c r="G108" s="451">
        <f t="shared" si="6"/>
        <v>0</v>
      </c>
      <c r="H108" s="430">
        <f t="shared" si="6"/>
        <v>136731.57271726991</v>
      </c>
      <c r="I108" s="430">
        <f t="shared" si="6"/>
        <v>107741.00166887854</v>
      </c>
      <c r="J108" s="430">
        <f t="shared" si="6"/>
        <v>0</v>
      </c>
      <c r="K108" s="430">
        <f t="shared" si="6"/>
        <v>244472.57438614845</v>
      </c>
    </row>
    <row r="109" spans="1:11" ht="18" customHeight="1" thickBot="1" x14ac:dyDescent="0.45">
      <c r="A109" s="100"/>
      <c r="B109" s="101"/>
      <c r="C109" s="102"/>
      <c r="D109" s="102"/>
      <c r="E109" s="102"/>
      <c r="F109" s="434"/>
      <c r="G109" s="434"/>
      <c r="H109" s="245"/>
      <c r="I109" s="245"/>
      <c r="J109" s="245"/>
      <c r="K109" s="245"/>
    </row>
    <row r="110" spans="1:11" ht="18" customHeight="1" x14ac:dyDescent="0.4">
      <c r="A110" s="98" t="s">
        <v>156</v>
      </c>
      <c r="B110" s="95" t="s">
        <v>39</v>
      </c>
      <c r="F110" s="212"/>
      <c r="G110" s="212"/>
      <c r="H110" s="241"/>
      <c r="I110" s="241"/>
      <c r="J110" s="241"/>
      <c r="K110" s="241"/>
    </row>
    <row r="111" spans="1:11" ht="18" customHeight="1" x14ac:dyDescent="0.4">
      <c r="A111" s="98" t="s">
        <v>155</v>
      </c>
      <c r="B111" s="95" t="s">
        <v>164</v>
      </c>
      <c r="E111" s="95" t="s">
        <v>7</v>
      </c>
      <c r="F111" s="428">
        <v>17767062</v>
      </c>
      <c r="G111" s="212"/>
      <c r="H111" s="241"/>
      <c r="I111" s="241"/>
      <c r="J111" s="241"/>
      <c r="K111" s="241"/>
    </row>
    <row r="112" spans="1:11" ht="18" customHeight="1" x14ac:dyDescent="0.4">
      <c r="B112" s="95"/>
      <c r="E112" s="95"/>
      <c r="F112" s="452"/>
      <c r="G112" s="212"/>
      <c r="H112" s="241"/>
      <c r="I112" s="241"/>
      <c r="J112" s="241"/>
      <c r="K112" s="241"/>
    </row>
    <row r="113" spans="1:11" ht="18" customHeight="1" x14ac:dyDescent="0.4">
      <c r="A113" s="98"/>
      <c r="B113" s="95" t="s">
        <v>15</v>
      </c>
      <c r="F113" s="212"/>
      <c r="G113" s="212"/>
      <c r="H113" s="241"/>
      <c r="I113" s="241"/>
      <c r="J113" s="241"/>
      <c r="K113" s="241"/>
    </row>
    <row r="114" spans="1:11" ht="18" customHeight="1" x14ac:dyDescent="0.4">
      <c r="A114" s="1" t="s">
        <v>171</v>
      </c>
      <c r="B114" s="94" t="s">
        <v>35</v>
      </c>
      <c r="F114" s="350">
        <v>0.78797456598895899</v>
      </c>
      <c r="G114" s="212"/>
      <c r="H114" s="241"/>
      <c r="I114" s="241"/>
      <c r="J114" s="241"/>
      <c r="K114" s="241"/>
    </row>
    <row r="115" spans="1:11" ht="18" customHeight="1" x14ac:dyDescent="0.4">
      <c r="A115" s="1"/>
      <c r="B115" s="95"/>
      <c r="F115" s="212"/>
      <c r="G115" s="212"/>
      <c r="H115" s="241"/>
      <c r="I115" s="241"/>
      <c r="J115" s="241"/>
      <c r="K115" s="241"/>
    </row>
    <row r="116" spans="1:11" ht="18" customHeight="1" x14ac:dyDescent="0.4">
      <c r="A116" s="1" t="s">
        <v>170</v>
      </c>
      <c r="B116" s="95" t="s">
        <v>16</v>
      </c>
      <c r="F116" s="212"/>
      <c r="G116" s="212"/>
      <c r="H116" s="241"/>
      <c r="I116" s="241"/>
      <c r="J116" s="241"/>
      <c r="K116" s="241"/>
    </row>
    <row r="117" spans="1:11" ht="18" customHeight="1" x14ac:dyDescent="0.4">
      <c r="A117" s="1" t="s">
        <v>172</v>
      </c>
      <c r="B117" s="94" t="s">
        <v>17</v>
      </c>
      <c r="F117" s="428">
        <v>471788380.8599999</v>
      </c>
      <c r="G117" s="212"/>
      <c r="H117" s="453"/>
      <c r="I117" s="241"/>
      <c r="J117" s="241"/>
      <c r="K117" s="241"/>
    </row>
    <row r="118" spans="1:11" ht="18" customHeight="1" x14ac:dyDescent="0.4">
      <c r="A118" s="1" t="s">
        <v>173</v>
      </c>
      <c r="B118" t="s">
        <v>18</v>
      </c>
      <c r="F118" s="428">
        <v>35967309</v>
      </c>
      <c r="G118" s="212"/>
      <c r="H118" s="453"/>
      <c r="I118" s="241"/>
      <c r="J118" s="241"/>
      <c r="K118" s="241"/>
    </row>
    <row r="119" spans="1:11" ht="18" customHeight="1" x14ac:dyDescent="0.4">
      <c r="A119" s="1" t="s">
        <v>174</v>
      </c>
      <c r="B119" s="95" t="s">
        <v>19</v>
      </c>
      <c r="F119" s="446">
        <f>SUM(F117:F118)</f>
        <v>507755689.8599999</v>
      </c>
      <c r="G119" s="212"/>
      <c r="H119" s="241"/>
      <c r="I119" s="241"/>
      <c r="J119" s="241"/>
      <c r="K119" s="241"/>
    </row>
    <row r="120" spans="1:11" ht="18" customHeight="1" x14ac:dyDescent="0.4">
      <c r="A120" s="1"/>
      <c r="B120" s="95"/>
      <c r="F120" s="212"/>
      <c r="G120" s="212"/>
      <c r="H120" s="241"/>
      <c r="I120" s="241"/>
      <c r="J120" s="241"/>
      <c r="K120" s="241"/>
    </row>
    <row r="121" spans="1:11" ht="18" customHeight="1" x14ac:dyDescent="0.4">
      <c r="A121" s="1" t="s">
        <v>167</v>
      </c>
      <c r="B121" s="95" t="s">
        <v>36</v>
      </c>
      <c r="F121" s="428">
        <v>492374189</v>
      </c>
      <c r="G121" s="212"/>
      <c r="H121" s="453"/>
      <c r="I121" s="241"/>
      <c r="J121" s="241"/>
      <c r="K121" s="241"/>
    </row>
    <row r="122" spans="1:11" ht="18" customHeight="1" x14ac:dyDescent="0.4">
      <c r="A122" s="1"/>
      <c r="F122" s="212"/>
      <c r="G122" s="212"/>
      <c r="H122" s="241"/>
      <c r="I122" s="241"/>
      <c r="J122" s="241"/>
      <c r="K122" s="241"/>
    </row>
    <row r="123" spans="1:11" ht="18" customHeight="1" x14ac:dyDescent="0.4">
      <c r="A123" s="1" t="s">
        <v>175</v>
      </c>
      <c r="B123" s="95" t="s">
        <v>20</v>
      </c>
      <c r="F123" s="428">
        <f>F119-F121</f>
        <v>15381500.859999895</v>
      </c>
      <c r="G123" s="212"/>
      <c r="H123" s="241"/>
      <c r="I123" s="241"/>
      <c r="J123" s="241"/>
      <c r="K123" s="241"/>
    </row>
    <row r="124" spans="1:11" ht="18" customHeight="1" x14ac:dyDescent="0.4">
      <c r="A124" s="1"/>
      <c r="F124" s="212"/>
      <c r="G124" s="212"/>
      <c r="H124" s="241"/>
      <c r="I124" s="241"/>
      <c r="J124" s="241"/>
      <c r="K124" s="241"/>
    </row>
    <row r="125" spans="1:11" ht="18" customHeight="1" x14ac:dyDescent="0.4">
      <c r="A125" s="1" t="s">
        <v>176</v>
      </c>
      <c r="B125" s="95" t="s">
        <v>21</v>
      </c>
      <c r="F125" s="454">
        <v>-6139000</v>
      </c>
      <c r="G125" s="212"/>
      <c r="H125" s="455" t="s">
        <v>85</v>
      </c>
      <c r="I125" s="241"/>
      <c r="J125" s="241"/>
      <c r="K125" s="241"/>
    </row>
    <row r="126" spans="1:11" ht="18" customHeight="1" x14ac:dyDescent="0.4">
      <c r="A126" s="1"/>
      <c r="F126" s="212"/>
      <c r="G126" s="212"/>
      <c r="H126" s="241"/>
      <c r="I126" s="241"/>
      <c r="J126" s="241"/>
      <c r="K126" s="241"/>
    </row>
    <row r="127" spans="1:11" ht="18" customHeight="1" x14ac:dyDescent="0.4">
      <c r="A127" s="1" t="s">
        <v>177</v>
      </c>
      <c r="B127" s="95" t="s">
        <v>22</v>
      </c>
      <c r="F127" s="428">
        <f>F123+F125</f>
        <v>9242500.8599998951</v>
      </c>
      <c r="G127" s="212"/>
      <c r="H127" s="241"/>
      <c r="I127" s="241"/>
      <c r="J127" s="241"/>
      <c r="K127" s="241"/>
    </row>
    <row r="128" spans="1:11" ht="18" customHeight="1" x14ac:dyDescent="0.4">
      <c r="A128" s="1"/>
      <c r="F128" s="241"/>
      <c r="G128" s="212"/>
      <c r="H128" s="241"/>
      <c r="I128" s="241"/>
      <c r="J128" s="241"/>
      <c r="K128" s="241"/>
    </row>
    <row r="129" spans="1:11" ht="42.75" customHeight="1" x14ac:dyDescent="0.4">
      <c r="F129" s="255" t="s">
        <v>9</v>
      </c>
      <c r="G129" s="255" t="s">
        <v>37</v>
      </c>
      <c r="H129" s="89" t="s">
        <v>29</v>
      </c>
      <c r="I129" s="89" t="s">
        <v>30</v>
      </c>
      <c r="J129" s="89" t="s">
        <v>33</v>
      </c>
      <c r="K129" s="89" t="s">
        <v>34</v>
      </c>
    </row>
    <row r="130" spans="1:11" ht="18" customHeight="1" x14ac:dyDescent="0.4">
      <c r="A130" s="98" t="s">
        <v>157</v>
      </c>
      <c r="B130" s="95" t="s">
        <v>23</v>
      </c>
      <c r="F130" s="212"/>
      <c r="G130" s="212"/>
      <c r="H130" s="241"/>
      <c r="I130" s="241"/>
      <c r="J130" s="241"/>
      <c r="K130" s="241"/>
    </row>
    <row r="131" spans="1:11" ht="18" customHeight="1" x14ac:dyDescent="0.4">
      <c r="A131" s="1" t="s">
        <v>158</v>
      </c>
      <c r="B131" t="s">
        <v>24</v>
      </c>
      <c r="F131" s="322"/>
      <c r="G131" s="322"/>
      <c r="H131" s="428"/>
      <c r="I131" s="429">
        <v>0</v>
      </c>
      <c r="J131" s="428"/>
      <c r="K131" s="430">
        <v>0</v>
      </c>
    </row>
    <row r="132" spans="1:11" ht="18" customHeight="1" x14ac:dyDescent="0.4">
      <c r="A132" s="1" t="s">
        <v>159</v>
      </c>
      <c r="B132" t="s">
        <v>25</v>
      </c>
      <c r="F132" s="322"/>
      <c r="G132" s="322"/>
      <c r="H132" s="428"/>
      <c r="I132" s="429">
        <v>0</v>
      </c>
      <c r="J132" s="428"/>
      <c r="K132" s="430">
        <v>0</v>
      </c>
    </row>
    <row r="133" spans="1:11" ht="18" customHeight="1" x14ac:dyDescent="0.4">
      <c r="A133" s="1" t="s">
        <v>160</v>
      </c>
      <c r="B133" s="630"/>
      <c r="C133" s="631"/>
      <c r="D133" s="632"/>
      <c r="F133" s="322"/>
      <c r="G133" s="322"/>
      <c r="H133" s="428"/>
      <c r="I133" s="429">
        <v>0</v>
      </c>
      <c r="J133" s="428"/>
      <c r="K133" s="430">
        <v>0</v>
      </c>
    </row>
    <row r="134" spans="1:11" ht="18" customHeight="1" x14ac:dyDescent="0.4">
      <c r="A134" s="1" t="s">
        <v>161</v>
      </c>
      <c r="B134" s="630"/>
      <c r="C134" s="631"/>
      <c r="D134" s="632"/>
      <c r="F134" s="322"/>
      <c r="G134" s="322"/>
      <c r="H134" s="428" t="s">
        <v>85</v>
      </c>
      <c r="I134" s="429">
        <v>0</v>
      </c>
      <c r="J134" s="428"/>
      <c r="K134" s="430">
        <v>0</v>
      </c>
    </row>
    <row r="135" spans="1:11" ht="18" customHeight="1" x14ac:dyDescent="0.4">
      <c r="A135" s="1" t="s">
        <v>162</v>
      </c>
      <c r="B135" s="630"/>
      <c r="C135" s="631"/>
      <c r="D135" s="632"/>
      <c r="F135" s="322"/>
      <c r="G135" s="322"/>
      <c r="H135" s="428"/>
      <c r="I135" s="429">
        <v>0</v>
      </c>
      <c r="J135" s="428"/>
      <c r="K135" s="430">
        <v>0</v>
      </c>
    </row>
    <row r="136" spans="1:11" ht="18" customHeight="1" x14ac:dyDescent="0.4">
      <c r="A136" s="98"/>
      <c r="F136" s="212"/>
      <c r="G136" s="212"/>
      <c r="H136" s="431"/>
      <c r="I136" s="431"/>
      <c r="J136" s="431"/>
      <c r="K136" s="431"/>
    </row>
    <row r="137" spans="1:11" ht="18" customHeight="1" x14ac:dyDescent="0.4">
      <c r="A137" s="98" t="s">
        <v>163</v>
      </c>
      <c r="B137" s="95" t="s">
        <v>27</v>
      </c>
      <c r="F137" s="347">
        <f t="shared" ref="F137:K137" si="7">SUM(F131:F135)</f>
        <v>0</v>
      </c>
      <c r="G137" s="347">
        <f t="shared" si="7"/>
        <v>0</v>
      </c>
      <c r="H137" s="430">
        <f t="shared" si="7"/>
        <v>0</v>
      </c>
      <c r="I137" s="430">
        <f t="shared" si="7"/>
        <v>0</v>
      </c>
      <c r="J137" s="430">
        <f t="shared" si="7"/>
        <v>0</v>
      </c>
      <c r="K137" s="430">
        <f t="shared" si="7"/>
        <v>0</v>
      </c>
    </row>
    <row r="138" spans="1:11" ht="18" customHeight="1" x14ac:dyDescent="0.4">
      <c r="A138"/>
      <c r="F138" s="212"/>
      <c r="G138" s="212"/>
      <c r="H138" s="241"/>
      <c r="I138" s="241"/>
      <c r="J138" s="241"/>
      <c r="K138" s="241"/>
    </row>
    <row r="139" spans="1:11" ht="42.75" customHeight="1" x14ac:dyDescent="0.4">
      <c r="F139" s="255" t="s">
        <v>9</v>
      </c>
      <c r="G139" s="255" t="s">
        <v>37</v>
      </c>
      <c r="H139" s="89" t="s">
        <v>29</v>
      </c>
      <c r="I139" s="89" t="s">
        <v>30</v>
      </c>
      <c r="J139" s="89" t="s">
        <v>33</v>
      </c>
      <c r="K139" s="89" t="s">
        <v>34</v>
      </c>
    </row>
    <row r="140" spans="1:11" ht="18" customHeight="1" x14ac:dyDescent="0.4">
      <c r="A140" s="98" t="s">
        <v>166</v>
      </c>
      <c r="B140" s="95" t="s">
        <v>26</v>
      </c>
      <c r="F140" s="212"/>
      <c r="G140" s="212"/>
      <c r="H140" s="241"/>
      <c r="I140" s="241"/>
      <c r="J140" s="241"/>
      <c r="K140" s="241"/>
    </row>
    <row r="141" spans="1:11" ht="18" customHeight="1" x14ac:dyDescent="0.4">
      <c r="A141" s="1" t="s">
        <v>137</v>
      </c>
      <c r="B141" s="95" t="s">
        <v>64</v>
      </c>
      <c r="F141" s="369">
        <f t="shared" ref="F141:K141" si="8">F36</f>
        <v>50024</v>
      </c>
      <c r="G141" s="369">
        <f t="shared" si="8"/>
        <v>32695.658207771608</v>
      </c>
      <c r="H141" s="456">
        <f t="shared" si="8"/>
        <v>5602462.7484186338</v>
      </c>
      <c r="I141" s="456">
        <f t="shared" si="8"/>
        <v>4411446.2543905275</v>
      </c>
      <c r="J141" s="456">
        <f t="shared" si="8"/>
        <v>450006.25</v>
      </c>
      <c r="K141" s="456">
        <f t="shared" si="8"/>
        <v>9563902.7528091613</v>
      </c>
    </row>
    <row r="142" spans="1:11" ht="18" customHeight="1" x14ac:dyDescent="0.4">
      <c r="A142" s="1" t="s">
        <v>142</v>
      </c>
      <c r="B142" s="95" t="s">
        <v>65</v>
      </c>
      <c r="F142" s="369">
        <f t="shared" ref="F142:K142" si="9">F49</f>
        <v>135487.54</v>
      </c>
      <c r="G142" s="369">
        <f t="shared" si="9"/>
        <v>4</v>
      </c>
      <c r="H142" s="456">
        <f t="shared" si="9"/>
        <v>6634660.2441137824</v>
      </c>
      <c r="I142" s="456">
        <f t="shared" si="9"/>
        <v>5227943.5263397573</v>
      </c>
      <c r="J142" s="456">
        <f t="shared" si="9"/>
        <v>518559</v>
      </c>
      <c r="K142" s="456">
        <f t="shared" si="9"/>
        <v>11344044.770453542</v>
      </c>
    </row>
    <row r="143" spans="1:11" ht="18" customHeight="1" x14ac:dyDescent="0.4">
      <c r="A143" s="1" t="s">
        <v>144</v>
      </c>
      <c r="B143" s="95" t="s">
        <v>66</v>
      </c>
      <c r="F143" s="369">
        <f t="shared" ref="F143:K143" si="10">F64</f>
        <v>50789.967626794256</v>
      </c>
      <c r="G143" s="369">
        <f t="shared" si="10"/>
        <v>86622.48</v>
      </c>
      <c r="H143" s="456">
        <f t="shared" si="10"/>
        <v>12447978.051578108</v>
      </c>
      <c r="I143" s="456">
        <f t="shared" si="10"/>
        <v>9808690.1026323494</v>
      </c>
      <c r="J143" s="456">
        <f t="shared" si="10"/>
        <v>782884.57000000007</v>
      </c>
      <c r="K143" s="456">
        <f t="shared" si="10"/>
        <v>21473783.584210463</v>
      </c>
    </row>
    <row r="144" spans="1:11" ht="18" customHeight="1" x14ac:dyDescent="0.4">
      <c r="A144" s="1" t="s">
        <v>146</v>
      </c>
      <c r="B144" s="95" t="s">
        <v>67</v>
      </c>
      <c r="F144" s="369">
        <f t="shared" ref="F144:K144" si="11">F74</f>
        <v>7960</v>
      </c>
      <c r="G144" s="369">
        <f t="shared" si="11"/>
        <v>1832</v>
      </c>
      <c r="H144" s="456">
        <f t="shared" si="11"/>
        <v>626589</v>
      </c>
      <c r="I144" s="456">
        <f t="shared" si="11"/>
        <v>493736.19532845583</v>
      </c>
      <c r="J144" s="456">
        <v>0</v>
      </c>
      <c r="K144" s="456">
        <f t="shared" si="11"/>
        <v>1120325.1953284559</v>
      </c>
    </row>
    <row r="145" spans="1:11" ht="18" customHeight="1" x14ac:dyDescent="0.4">
      <c r="A145" s="1" t="s">
        <v>148</v>
      </c>
      <c r="B145" s="95" t="s">
        <v>68</v>
      </c>
      <c r="F145" s="369">
        <f t="shared" ref="F145:K145" si="12">F82</f>
        <v>1745</v>
      </c>
      <c r="G145" s="369">
        <f t="shared" si="12"/>
        <v>309</v>
      </c>
      <c r="H145" s="456">
        <f t="shared" si="12"/>
        <v>1955573.3446143197</v>
      </c>
      <c r="I145" s="456">
        <f t="shared" si="12"/>
        <v>370607.66388938652</v>
      </c>
      <c r="J145" s="456">
        <v>0</v>
      </c>
      <c r="K145" s="456">
        <f t="shared" si="12"/>
        <v>2326181.0085037062</v>
      </c>
    </row>
    <row r="146" spans="1:11" ht="18" customHeight="1" x14ac:dyDescent="0.4">
      <c r="A146" s="1" t="s">
        <v>150</v>
      </c>
      <c r="B146" s="95" t="s">
        <v>69</v>
      </c>
      <c r="F146" s="369">
        <f t="shared" ref="F146:K146" si="13">F98</f>
        <v>73268</v>
      </c>
      <c r="G146" s="369">
        <f t="shared" si="13"/>
        <v>13589</v>
      </c>
      <c r="H146" s="456">
        <f t="shared" si="13"/>
        <v>3436486.5276666675</v>
      </c>
      <c r="I146" s="456">
        <f t="shared" si="13"/>
        <v>2707863.9801650466</v>
      </c>
      <c r="J146" s="456">
        <f t="shared" si="13"/>
        <v>162306.68</v>
      </c>
      <c r="K146" s="456">
        <f t="shared" si="13"/>
        <v>5982043.8278317135</v>
      </c>
    </row>
    <row r="147" spans="1:11" ht="18" customHeight="1" x14ac:dyDescent="0.4">
      <c r="A147" s="1" t="s">
        <v>153</v>
      </c>
      <c r="B147" s="95" t="s">
        <v>61</v>
      </c>
      <c r="F147" s="321">
        <f t="shared" ref="F147:K147" si="14">F108</f>
        <v>2723</v>
      </c>
      <c r="G147" s="321"/>
      <c r="H147" s="430">
        <f t="shared" si="14"/>
        <v>136731.57271726991</v>
      </c>
      <c r="I147" s="430">
        <f t="shared" si="14"/>
        <v>107741.00166887854</v>
      </c>
      <c r="J147" s="430">
        <v>0</v>
      </c>
      <c r="K147" s="430">
        <f t="shared" si="14"/>
        <v>244472.57438614845</v>
      </c>
    </row>
    <row r="148" spans="1:11" ht="18" customHeight="1" x14ac:dyDescent="0.4">
      <c r="A148" s="1" t="s">
        <v>155</v>
      </c>
      <c r="B148" s="95" t="s">
        <v>70</v>
      </c>
      <c r="F148" s="457" t="s">
        <v>73</v>
      </c>
      <c r="G148" s="457" t="s">
        <v>73</v>
      </c>
      <c r="H148" s="458" t="s">
        <v>73</v>
      </c>
      <c r="I148" s="458" t="s">
        <v>73</v>
      </c>
      <c r="J148" s="458" t="s">
        <v>73</v>
      </c>
      <c r="K148" s="456">
        <f>F111</f>
        <v>17767062</v>
      </c>
    </row>
    <row r="149" spans="1:11" ht="18" customHeight="1" x14ac:dyDescent="0.4">
      <c r="A149" s="1" t="s">
        <v>163</v>
      </c>
      <c r="B149" s="95" t="s">
        <v>71</v>
      </c>
      <c r="F149" s="321">
        <f t="shared" ref="F149:K149" si="15">F137</f>
        <v>0</v>
      </c>
      <c r="G149" s="321">
        <f t="shared" si="15"/>
        <v>0</v>
      </c>
      <c r="H149" s="430">
        <f t="shared" si="15"/>
        <v>0</v>
      </c>
      <c r="I149" s="430">
        <f t="shared" si="15"/>
        <v>0</v>
      </c>
      <c r="J149" s="430">
        <f t="shared" si="15"/>
        <v>0</v>
      </c>
      <c r="K149" s="430">
        <f t="shared" si="15"/>
        <v>0</v>
      </c>
    </row>
    <row r="150" spans="1:11" ht="18" customHeight="1" x14ac:dyDescent="0.4">
      <c r="A150" s="1" t="s">
        <v>185</v>
      </c>
      <c r="B150" s="95" t="s">
        <v>186</v>
      </c>
      <c r="F150" s="457" t="s">
        <v>73</v>
      </c>
      <c r="G150" s="457" t="s">
        <v>73</v>
      </c>
      <c r="H150" s="430">
        <f>H18</f>
        <v>10773711.949999999</v>
      </c>
      <c r="I150" s="430">
        <f>I18</f>
        <v>0</v>
      </c>
      <c r="J150" s="430">
        <f>J18</f>
        <v>8928930.9100000001</v>
      </c>
      <c r="K150" s="430">
        <f>K18</f>
        <v>1844781.0399999991</v>
      </c>
    </row>
    <row r="151" spans="1:11" ht="18" customHeight="1" x14ac:dyDescent="0.4">
      <c r="B151" s="95"/>
      <c r="F151" s="436"/>
      <c r="G151" s="436"/>
      <c r="H151" s="459"/>
      <c r="I151" s="459"/>
      <c r="J151" s="459"/>
      <c r="K151" s="459"/>
    </row>
    <row r="152" spans="1:11" ht="18" customHeight="1" x14ac:dyDescent="0.4">
      <c r="A152" s="98" t="s">
        <v>165</v>
      </c>
      <c r="B152" s="95" t="s">
        <v>26</v>
      </c>
      <c r="F152" s="460">
        <f t="shared" ref="F152:J152" si="16">SUM(F141:F150)</f>
        <v>321997.50762679428</v>
      </c>
      <c r="G152" s="460">
        <f t="shared" si="16"/>
        <v>135052.13820777161</v>
      </c>
      <c r="H152" s="461">
        <f t="shared" si="16"/>
        <v>41614193.439108789</v>
      </c>
      <c r="I152" s="461">
        <f>SUM(I141:I150)</f>
        <v>23128028.724414401</v>
      </c>
      <c r="J152" s="461">
        <f t="shared" si="16"/>
        <v>10842687.41</v>
      </c>
      <c r="K152" s="461">
        <f>SUM(K141:K150)</f>
        <v>71666596.753523201</v>
      </c>
    </row>
    <row r="153" spans="1:11" ht="18" customHeight="1" x14ac:dyDescent="0.4">
      <c r="F153" s="212"/>
      <c r="G153" s="212"/>
      <c r="H153" s="212"/>
      <c r="I153" s="212"/>
      <c r="J153" s="212"/>
      <c r="K153" s="212"/>
    </row>
    <row r="154" spans="1:11" ht="18" customHeight="1" x14ac:dyDescent="0.4">
      <c r="A154" s="98" t="s">
        <v>168</v>
      </c>
      <c r="B154" s="95" t="s">
        <v>28</v>
      </c>
      <c r="F154" s="318">
        <f>K152/F121</f>
        <v>0.14555311459172204</v>
      </c>
      <c r="G154" s="212"/>
      <c r="H154" s="212"/>
      <c r="I154" s="212"/>
      <c r="J154" s="212"/>
      <c r="K154" s="212"/>
    </row>
    <row r="155" spans="1:11" ht="18" customHeight="1" x14ac:dyDescent="0.4">
      <c r="A155" s="98" t="s">
        <v>169</v>
      </c>
      <c r="B155" s="95" t="s">
        <v>72</v>
      </c>
      <c r="F155" s="462">
        <f>K152/F127</f>
        <v>7.7540265171827114</v>
      </c>
      <c r="G155" s="463"/>
      <c r="H155" s="212"/>
      <c r="I155" s="212"/>
      <c r="J155" s="212"/>
      <c r="K155" s="212"/>
    </row>
    <row r="156" spans="1:11" ht="18" customHeight="1" x14ac:dyDescent="0.4">
      <c r="F156" s="212"/>
      <c r="G156" s="463"/>
      <c r="H156" s="212"/>
      <c r="I156" s="212"/>
      <c r="J156" s="212"/>
      <c r="K156" s="212"/>
    </row>
    <row r="157" spans="1:11" ht="18" customHeight="1" x14ac:dyDescent="0.4">
      <c r="F157" s="212"/>
      <c r="G157" s="212"/>
      <c r="H157" s="212"/>
      <c r="I157" s="212"/>
      <c r="J157" s="212"/>
      <c r="K157" s="212"/>
    </row>
    <row r="158" spans="1:11" ht="18" customHeight="1" x14ac:dyDescent="0.4">
      <c r="F158" s="212"/>
      <c r="G158" s="212"/>
      <c r="H158" s="212"/>
      <c r="I158" s="212"/>
      <c r="J158" s="212"/>
      <c r="K158" s="212"/>
    </row>
    <row r="159" spans="1:11" ht="18" customHeight="1" x14ac:dyDescent="0.4">
      <c r="F159" s="212"/>
      <c r="G159" s="212"/>
      <c r="H159" s="212"/>
      <c r="I159" s="212"/>
      <c r="J159" s="212"/>
      <c r="K159" s="212"/>
    </row>
    <row r="160" spans="1:11" ht="18" customHeight="1" x14ac:dyDescent="0.4">
      <c r="F160" s="212"/>
      <c r="G160" s="212"/>
      <c r="H160" s="212"/>
      <c r="I160" s="212"/>
      <c r="J160" s="212"/>
      <c r="K160" s="212"/>
    </row>
  </sheetData>
  <mergeCells count="34">
    <mergeCell ref="B134:D134"/>
    <mergeCell ref="B135:D135"/>
    <mergeCell ref="B94:D94"/>
    <mergeCell ref="B95:D95"/>
    <mergeCell ref="D2:H2"/>
    <mergeCell ref="C5:G5"/>
    <mergeCell ref="C6:G6"/>
    <mergeCell ref="B106:D106"/>
    <mergeCell ref="B133:D133"/>
    <mergeCell ref="B57:D57"/>
    <mergeCell ref="B59:D59"/>
    <mergeCell ref="B62:D62"/>
    <mergeCell ref="C7:G7"/>
    <mergeCell ref="C9:G9"/>
    <mergeCell ref="C10:G10"/>
    <mergeCell ref="C11:G11"/>
    <mergeCell ref="B13:H13"/>
    <mergeCell ref="B41:C41"/>
    <mergeCell ref="B96:D96"/>
    <mergeCell ref="B103:C103"/>
    <mergeCell ref="B104:D104"/>
    <mergeCell ref="B105:D105"/>
    <mergeCell ref="B30:D30"/>
    <mergeCell ref="B31:D31"/>
    <mergeCell ref="B34:D34"/>
    <mergeCell ref="B90:C90"/>
    <mergeCell ref="B44:D44"/>
    <mergeCell ref="B45:D45"/>
    <mergeCell ref="B46:D46"/>
    <mergeCell ref="B47:D47"/>
    <mergeCell ref="B52:C52"/>
    <mergeCell ref="B53:D53"/>
    <mergeCell ref="B55:D55"/>
    <mergeCell ref="B56:D56"/>
  </mergeCells>
  <hyperlinks>
    <hyperlink ref="C11" r:id="rId1" xr:uid="{DA0C26DD-1B6C-4E03-9AFE-3135F8AAC108}"/>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K156"/>
  <sheetViews>
    <sheetView showGridLines="0" topLeftCell="A136" zoomScale="85" zoomScaleNormal="85" zoomScaleSheetLayoutView="80" workbookViewId="0">
      <selection activeCell="H152" sqref="H152"/>
    </sheetView>
  </sheetViews>
  <sheetFormatPr defaultColWidth="9" defaultRowHeight="18" customHeight="1" x14ac:dyDescent="0.4"/>
  <cols>
    <col min="1" max="1" width="8.27734375" style="88" customWidth="1"/>
    <col min="2" max="2" width="55.44140625" style="132" bestFit="1" customWidth="1"/>
    <col min="3" max="3" width="9.5546875" style="132" customWidth="1"/>
    <col min="4" max="4" width="9" style="132"/>
    <col min="5" max="5" width="12.44140625" style="132" customWidth="1"/>
    <col min="6" max="6" width="18.5546875" style="132" customWidth="1"/>
    <col min="7" max="7" width="23.5546875" style="132" customWidth="1"/>
    <col min="8" max="8" width="17.1640625" style="132" customWidth="1"/>
    <col min="9" max="9" width="21.1640625" style="132" customWidth="1"/>
    <col min="10" max="10" width="19.83203125" style="132" customWidth="1"/>
    <col min="11" max="11" width="17.5546875" style="132" customWidth="1"/>
    <col min="12" max="16384" width="9" style="132"/>
  </cols>
  <sheetData>
    <row r="1" spans="1:11" ht="18" customHeight="1" x14ac:dyDescent="0.4">
      <c r="C1" s="214"/>
      <c r="D1" s="215"/>
      <c r="E1" s="214"/>
      <c r="F1" s="214"/>
      <c r="G1" s="214"/>
      <c r="H1" s="214"/>
      <c r="I1" s="214"/>
      <c r="J1" s="214"/>
      <c r="K1" s="214"/>
    </row>
    <row r="2" spans="1:11" ht="18" customHeight="1" x14ac:dyDescent="0.5">
      <c r="D2" s="715" t="s">
        <v>677</v>
      </c>
      <c r="E2" s="716"/>
      <c r="F2" s="716"/>
      <c r="G2" s="716"/>
      <c r="H2" s="716"/>
    </row>
    <row r="3" spans="1:11" ht="18" customHeight="1" x14ac:dyDescent="0.4">
      <c r="B3" s="117" t="s">
        <v>0</v>
      </c>
    </row>
    <row r="5" spans="1:11" ht="18" customHeight="1" x14ac:dyDescent="0.4">
      <c r="B5" s="133" t="s">
        <v>40</v>
      </c>
      <c r="C5" s="717" t="s">
        <v>281</v>
      </c>
      <c r="D5" s="718"/>
      <c r="E5" s="718"/>
      <c r="F5" s="718"/>
      <c r="G5" s="719"/>
    </row>
    <row r="6" spans="1:11" ht="18" customHeight="1" x14ac:dyDescent="0.4">
      <c r="B6" s="133" t="s">
        <v>3</v>
      </c>
      <c r="C6" s="720" t="s">
        <v>282</v>
      </c>
      <c r="D6" s="721"/>
      <c r="E6" s="721"/>
      <c r="F6" s="721"/>
      <c r="G6" s="722"/>
    </row>
    <row r="7" spans="1:11" ht="18" customHeight="1" x14ac:dyDescent="0.4">
      <c r="B7" s="133" t="s">
        <v>4</v>
      </c>
      <c r="C7" s="723"/>
      <c r="D7" s="724"/>
      <c r="E7" s="724"/>
      <c r="F7" s="724"/>
      <c r="G7" s="725"/>
    </row>
    <row r="9" spans="1:11" ht="18" customHeight="1" x14ac:dyDescent="0.4">
      <c r="B9" s="133" t="s">
        <v>1</v>
      </c>
      <c r="C9" s="717" t="s">
        <v>283</v>
      </c>
      <c r="D9" s="718"/>
      <c r="E9" s="718"/>
      <c r="F9" s="718"/>
      <c r="G9" s="719"/>
    </row>
    <row r="10" spans="1:11" ht="18" customHeight="1" x14ac:dyDescent="0.4">
      <c r="B10" s="133" t="s">
        <v>2</v>
      </c>
      <c r="C10" s="712" t="s">
        <v>614</v>
      </c>
      <c r="D10" s="713"/>
      <c r="E10" s="713"/>
      <c r="F10" s="713"/>
      <c r="G10" s="714"/>
      <c r="H10" s="132" t="s">
        <v>85</v>
      </c>
    </row>
    <row r="11" spans="1:11" ht="18" customHeight="1" x14ac:dyDescent="0.55000000000000004">
      <c r="B11" s="133" t="s">
        <v>32</v>
      </c>
      <c r="C11" s="726" t="s">
        <v>284</v>
      </c>
      <c r="D11" s="727"/>
      <c r="E11" s="727"/>
      <c r="F11" s="727"/>
      <c r="G11" s="727"/>
    </row>
    <row r="12" spans="1:11" ht="18" customHeight="1" x14ac:dyDescent="0.4">
      <c r="B12" s="133"/>
      <c r="C12" s="133"/>
      <c r="D12" s="133"/>
      <c r="E12" s="133"/>
      <c r="F12" s="133"/>
      <c r="G12" s="133"/>
    </row>
    <row r="13" spans="1:11" ht="24.7" customHeight="1" x14ac:dyDescent="0.4">
      <c r="B13" s="728"/>
      <c r="C13" s="729"/>
      <c r="D13" s="729"/>
      <c r="E13" s="729"/>
      <c r="F13" s="729"/>
      <c r="G13" s="729"/>
      <c r="H13" s="730"/>
      <c r="I13" s="214"/>
    </row>
    <row r="14" spans="1:11" ht="18" customHeight="1" x14ac:dyDescent="0.4">
      <c r="B14" s="464"/>
    </row>
    <row r="15" spans="1:11" ht="18" customHeight="1" x14ac:dyDescent="0.4">
      <c r="B15" s="464"/>
    </row>
    <row r="16" spans="1:11" ht="45" customHeight="1" x14ac:dyDescent="0.4">
      <c r="A16" s="215" t="s">
        <v>181</v>
      </c>
      <c r="B16" s="214"/>
      <c r="C16" s="214"/>
      <c r="D16" s="214"/>
      <c r="E16" s="214"/>
      <c r="F16" s="119" t="s">
        <v>9</v>
      </c>
      <c r="G16" s="119" t="s">
        <v>37</v>
      </c>
      <c r="H16" s="119" t="s">
        <v>29</v>
      </c>
      <c r="I16" s="119" t="s">
        <v>30</v>
      </c>
      <c r="J16" s="119" t="s">
        <v>33</v>
      </c>
      <c r="K16" s="119" t="s">
        <v>34</v>
      </c>
    </row>
    <row r="17" spans="1:11" ht="18" customHeight="1" x14ac:dyDescent="0.4">
      <c r="A17" s="118" t="s">
        <v>184</v>
      </c>
      <c r="B17" s="117" t="s">
        <v>182</v>
      </c>
    </row>
    <row r="18" spans="1:11" ht="18" customHeight="1" x14ac:dyDescent="0.4">
      <c r="A18" s="133" t="s">
        <v>185</v>
      </c>
      <c r="B18" s="132" t="s">
        <v>183</v>
      </c>
      <c r="F18" s="326" t="s">
        <v>678</v>
      </c>
      <c r="G18" s="326" t="s">
        <v>73</v>
      </c>
      <c r="H18" s="327">
        <v>47111350.729999997</v>
      </c>
      <c r="I18" s="327">
        <v>0</v>
      </c>
      <c r="J18" s="327">
        <v>39044481.390000001</v>
      </c>
      <c r="K18" s="328">
        <f>(H18+I18)-J18</f>
        <v>8066869.3399999961</v>
      </c>
    </row>
    <row r="19" spans="1:11" ht="45" customHeight="1" x14ac:dyDescent="0.4">
      <c r="A19" s="215" t="s">
        <v>8</v>
      </c>
      <c r="B19" s="214"/>
      <c r="C19" s="214"/>
      <c r="D19" s="214"/>
      <c r="E19" s="214"/>
      <c r="F19" s="119" t="s">
        <v>9</v>
      </c>
      <c r="G19" s="119" t="s">
        <v>37</v>
      </c>
      <c r="H19" s="119" t="s">
        <v>29</v>
      </c>
      <c r="I19" s="119" t="s">
        <v>30</v>
      </c>
      <c r="J19" s="119" t="s">
        <v>33</v>
      </c>
      <c r="K19" s="119" t="s">
        <v>34</v>
      </c>
    </row>
    <row r="20" spans="1:11" ht="18" customHeight="1" x14ac:dyDescent="0.4">
      <c r="A20" s="118" t="s">
        <v>74</v>
      </c>
      <c r="B20" s="117" t="s">
        <v>41</v>
      </c>
    </row>
    <row r="21" spans="1:11" ht="18" customHeight="1" x14ac:dyDescent="0.4">
      <c r="A21" s="133" t="s">
        <v>75</v>
      </c>
      <c r="B21" s="132" t="s">
        <v>42</v>
      </c>
      <c r="F21" s="326">
        <v>2010</v>
      </c>
      <c r="G21" s="326">
        <v>1506608</v>
      </c>
      <c r="H21" s="327">
        <v>214072.78</v>
      </c>
      <c r="I21" s="327">
        <v>101577.53410999996</v>
      </c>
      <c r="J21" s="327">
        <v>7000</v>
      </c>
      <c r="K21" s="328">
        <f t="shared" ref="K21:K34" si="0">(H21+I21)-J21</f>
        <v>308650.31410999998</v>
      </c>
    </row>
    <row r="22" spans="1:11" ht="18" customHeight="1" x14ac:dyDescent="0.4">
      <c r="A22" s="133" t="s">
        <v>76</v>
      </c>
      <c r="B22" s="132" t="s">
        <v>6</v>
      </c>
      <c r="F22" s="326">
        <v>586</v>
      </c>
      <c r="G22" s="326">
        <v>1373</v>
      </c>
      <c r="H22" s="327">
        <v>53494.3</v>
      </c>
      <c r="I22" s="327">
        <v>25383.04535</v>
      </c>
      <c r="J22" s="327">
        <v>0</v>
      </c>
      <c r="K22" s="328">
        <f t="shared" si="0"/>
        <v>78877.345350000003</v>
      </c>
    </row>
    <row r="23" spans="1:11" ht="18" customHeight="1" x14ac:dyDescent="0.4">
      <c r="A23" s="133" t="s">
        <v>77</v>
      </c>
      <c r="B23" s="132" t="s">
        <v>43</v>
      </c>
      <c r="F23" s="326">
        <v>0</v>
      </c>
      <c r="G23" s="326">
        <v>0</v>
      </c>
      <c r="H23" s="327">
        <v>0</v>
      </c>
      <c r="I23" s="327">
        <v>0</v>
      </c>
      <c r="J23" s="327">
        <v>0</v>
      </c>
      <c r="K23" s="328">
        <f t="shared" si="0"/>
        <v>0</v>
      </c>
    </row>
    <row r="24" spans="1:11" ht="18" customHeight="1" x14ac:dyDescent="0.4">
      <c r="A24" s="133" t="s">
        <v>78</v>
      </c>
      <c r="B24" s="132" t="s">
        <v>44</v>
      </c>
      <c r="F24" s="326">
        <v>19671</v>
      </c>
      <c r="G24" s="326">
        <v>2452</v>
      </c>
      <c r="H24" s="327">
        <v>1693907.96</v>
      </c>
      <c r="I24" s="327">
        <v>337515.08392</v>
      </c>
      <c r="J24" s="327">
        <v>0</v>
      </c>
      <c r="K24" s="328">
        <f t="shared" si="0"/>
        <v>2031423.0439200001</v>
      </c>
    </row>
    <row r="25" spans="1:11" ht="18" customHeight="1" x14ac:dyDescent="0.4">
      <c r="A25" s="133" t="s">
        <v>79</v>
      </c>
      <c r="B25" s="132" t="s">
        <v>5</v>
      </c>
      <c r="F25" s="326">
        <v>27</v>
      </c>
      <c r="G25" s="326">
        <v>250</v>
      </c>
      <c r="H25" s="327">
        <v>1809</v>
      </c>
      <c r="I25" s="327">
        <v>858.37049999999999</v>
      </c>
      <c r="J25" s="327">
        <v>0</v>
      </c>
      <c r="K25" s="328">
        <f t="shared" si="0"/>
        <v>2667.3705</v>
      </c>
    </row>
    <row r="26" spans="1:11" ht="18" customHeight="1" x14ac:dyDescent="0.4">
      <c r="A26" s="133" t="s">
        <v>80</v>
      </c>
      <c r="B26" s="132" t="s">
        <v>45</v>
      </c>
      <c r="F26" s="326">
        <v>0</v>
      </c>
      <c r="G26" s="326">
        <v>0</v>
      </c>
      <c r="H26" s="327">
        <v>0</v>
      </c>
      <c r="I26" s="327">
        <v>0</v>
      </c>
      <c r="J26" s="327">
        <v>0</v>
      </c>
      <c r="K26" s="328">
        <f t="shared" si="0"/>
        <v>0</v>
      </c>
    </row>
    <row r="27" spans="1:11" ht="18" customHeight="1" x14ac:dyDescent="0.4">
      <c r="A27" s="133" t="s">
        <v>81</v>
      </c>
      <c r="B27" s="132" t="s">
        <v>46</v>
      </c>
      <c r="F27" s="326">
        <v>12480</v>
      </c>
      <c r="G27" s="326">
        <v>21792</v>
      </c>
      <c r="H27" s="327">
        <v>5407954.2800000003</v>
      </c>
      <c r="I27" s="327">
        <v>2566074.3058599997</v>
      </c>
      <c r="J27" s="327">
        <v>0</v>
      </c>
      <c r="K27" s="328">
        <f t="shared" si="0"/>
        <v>7974028.58586</v>
      </c>
    </row>
    <row r="28" spans="1:11" ht="18" customHeight="1" x14ac:dyDescent="0.4">
      <c r="A28" s="133" t="s">
        <v>82</v>
      </c>
      <c r="B28" s="132" t="s">
        <v>47</v>
      </c>
      <c r="F28" s="326">
        <v>17407</v>
      </c>
      <c r="G28" s="326">
        <v>3276</v>
      </c>
      <c r="H28" s="327">
        <v>762999.26</v>
      </c>
      <c r="I28" s="327">
        <v>362043.14887000003</v>
      </c>
      <c r="J28" s="327">
        <v>1124179</v>
      </c>
      <c r="K28" s="328">
        <f t="shared" si="0"/>
        <v>863.40886999992654</v>
      </c>
    </row>
    <row r="29" spans="1:11" ht="18" customHeight="1" x14ac:dyDescent="0.4">
      <c r="A29" s="133" t="s">
        <v>83</v>
      </c>
      <c r="B29" s="132" t="s">
        <v>48</v>
      </c>
      <c r="F29" s="326">
        <v>53477</v>
      </c>
      <c r="G29" s="326">
        <v>52507.95</v>
      </c>
      <c r="H29" s="327">
        <v>10921125.4</v>
      </c>
      <c r="I29" s="327">
        <v>5016836.5342999995</v>
      </c>
      <c r="J29" s="327">
        <v>175527</v>
      </c>
      <c r="K29" s="328">
        <f t="shared" si="0"/>
        <v>15762434.9343</v>
      </c>
    </row>
    <row r="30" spans="1:11" ht="18" customHeight="1" x14ac:dyDescent="0.4">
      <c r="A30" s="133" t="s">
        <v>84</v>
      </c>
      <c r="B30" s="696" t="s">
        <v>285</v>
      </c>
      <c r="C30" s="697"/>
      <c r="D30" s="698"/>
      <c r="F30" s="326">
        <v>6833</v>
      </c>
      <c r="G30" s="326">
        <v>3779</v>
      </c>
      <c r="H30" s="327">
        <v>2465965.14</v>
      </c>
      <c r="I30" s="327">
        <v>1170100.4589300002</v>
      </c>
      <c r="J30" s="327">
        <v>132000</v>
      </c>
      <c r="K30" s="328">
        <f t="shared" si="0"/>
        <v>3504065.5989300003</v>
      </c>
    </row>
    <row r="31" spans="1:11" ht="18" customHeight="1" x14ac:dyDescent="0.4">
      <c r="A31" s="133" t="s">
        <v>133</v>
      </c>
      <c r="B31" s="696"/>
      <c r="C31" s="697"/>
      <c r="D31" s="698"/>
      <c r="F31" s="326">
        <v>0</v>
      </c>
      <c r="G31" s="326">
        <v>0</v>
      </c>
      <c r="H31" s="327">
        <v>0</v>
      </c>
      <c r="I31" s="327">
        <v>0</v>
      </c>
      <c r="J31" s="327">
        <v>0</v>
      </c>
      <c r="K31" s="328">
        <f t="shared" si="0"/>
        <v>0</v>
      </c>
    </row>
    <row r="32" spans="1:11" ht="18" customHeight="1" x14ac:dyDescent="0.4">
      <c r="A32" s="133" t="s">
        <v>134</v>
      </c>
      <c r="B32" s="465"/>
      <c r="C32" s="466"/>
      <c r="D32" s="467"/>
      <c r="F32" s="326">
        <v>0</v>
      </c>
      <c r="G32" s="326">
        <v>0</v>
      </c>
      <c r="H32" s="327">
        <v>0</v>
      </c>
      <c r="I32" s="327">
        <v>0</v>
      </c>
      <c r="J32" s="327">
        <v>0</v>
      </c>
      <c r="K32" s="328">
        <f t="shared" si="0"/>
        <v>0</v>
      </c>
    </row>
    <row r="33" spans="1:11" ht="18" customHeight="1" x14ac:dyDescent="0.4">
      <c r="A33" s="133" t="s">
        <v>135</v>
      </c>
      <c r="B33" s="465"/>
      <c r="C33" s="466"/>
      <c r="D33" s="467"/>
      <c r="F33" s="326">
        <v>0</v>
      </c>
      <c r="G33" s="326">
        <v>0</v>
      </c>
      <c r="H33" s="327">
        <v>0</v>
      </c>
      <c r="I33" s="327">
        <v>0</v>
      </c>
      <c r="J33" s="327">
        <v>0</v>
      </c>
      <c r="K33" s="328">
        <f t="shared" si="0"/>
        <v>0</v>
      </c>
    </row>
    <row r="34" spans="1:11" ht="18" customHeight="1" x14ac:dyDescent="0.4">
      <c r="A34" s="133" t="s">
        <v>136</v>
      </c>
      <c r="B34" s="696"/>
      <c r="C34" s="697"/>
      <c r="D34" s="698"/>
      <c r="F34" s="326">
        <v>0</v>
      </c>
      <c r="G34" s="326">
        <v>0</v>
      </c>
      <c r="H34" s="327">
        <v>0</v>
      </c>
      <c r="I34" s="327">
        <v>0</v>
      </c>
      <c r="J34" s="327">
        <v>0</v>
      </c>
      <c r="K34" s="328">
        <f t="shared" si="0"/>
        <v>0</v>
      </c>
    </row>
    <row r="35" spans="1:11" ht="18" customHeight="1" x14ac:dyDescent="0.4">
      <c r="K35" s="468"/>
    </row>
    <row r="36" spans="1:11" ht="18" customHeight="1" x14ac:dyDescent="0.4">
      <c r="A36" s="118" t="s">
        <v>137</v>
      </c>
      <c r="B36" s="117" t="s">
        <v>138</v>
      </c>
      <c r="E36" s="117" t="s">
        <v>7</v>
      </c>
      <c r="F36" s="329">
        <v>112491</v>
      </c>
      <c r="G36" s="329">
        <v>1592037.95</v>
      </c>
      <c r="H36" s="328">
        <v>21521328.120000001</v>
      </c>
      <c r="I36" s="328">
        <v>9580388.4818399996</v>
      </c>
      <c r="J36" s="328">
        <v>1438706</v>
      </c>
      <c r="K36" s="328">
        <f t="shared" ref="K36" si="1">SUM(K21:K34)</f>
        <v>29663010.601840004</v>
      </c>
    </row>
    <row r="37" spans="1:11" ht="18" customHeight="1" thickBot="1" x14ac:dyDescent="0.45">
      <c r="B37" s="117"/>
      <c r="F37" s="377"/>
      <c r="G37" s="377"/>
      <c r="H37" s="469"/>
      <c r="I37" s="469"/>
      <c r="J37" s="469"/>
      <c r="K37" s="90"/>
    </row>
    <row r="38" spans="1:11" ht="42.75" customHeight="1" x14ac:dyDescent="0.4">
      <c r="F38" s="119" t="s">
        <v>9</v>
      </c>
      <c r="G38" s="119" t="s">
        <v>37</v>
      </c>
      <c r="H38" s="119" t="s">
        <v>29</v>
      </c>
      <c r="I38" s="119" t="s">
        <v>30</v>
      </c>
      <c r="J38" s="119" t="s">
        <v>33</v>
      </c>
      <c r="K38" s="119" t="s">
        <v>34</v>
      </c>
    </row>
    <row r="39" spans="1:11" ht="18.75" customHeight="1" x14ac:dyDescent="0.4">
      <c r="A39" s="118" t="s">
        <v>86</v>
      </c>
      <c r="B39" s="117" t="s">
        <v>49</v>
      </c>
    </row>
    <row r="40" spans="1:11" ht="18" customHeight="1" x14ac:dyDescent="0.4">
      <c r="A40" s="133" t="s">
        <v>87</v>
      </c>
      <c r="B40" s="132" t="s">
        <v>31</v>
      </c>
      <c r="F40" s="326">
        <v>2084677</v>
      </c>
      <c r="G40" s="326">
        <v>1295</v>
      </c>
      <c r="H40" s="327">
        <v>128597473.42</v>
      </c>
      <c r="I40" s="327">
        <v>61019501.137790002</v>
      </c>
      <c r="J40" s="327">
        <v>0</v>
      </c>
      <c r="K40" s="328">
        <f t="shared" ref="K40:K47" si="2">(H40+I40)-J40</f>
        <v>189616974.55779001</v>
      </c>
    </row>
    <row r="41" spans="1:11" ht="18" customHeight="1" x14ac:dyDescent="0.4">
      <c r="A41" s="133" t="s">
        <v>88</v>
      </c>
      <c r="B41" s="711" t="s">
        <v>50</v>
      </c>
      <c r="C41" s="711"/>
      <c r="F41" s="326">
        <v>72139</v>
      </c>
      <c r="G41" s="326">
        <v>523</v>
      </c>
      <c r="H41" s="327">
        <v>4738340.76</v>
      </c>
      <c r="I41" s="327">
        <v>2248342.6906199995</v>
      </c>
      <c r="J41" s="327">
        <v>0</v>
      </c>
      <c r="K41" s="328">
        <f t="shared" si="2"/>
        <v>6986683.4506199993</v>
      </c>
    </row>
    <row r="42" spans="1:11" ht="18" customHeight="1" x14ac:dyDescent="0.4">
      <c r="A42" s="133" t="s">
        <v>89</v>
      </c>
      <c r="B42" s="132" t="s">
        <v>11</v>
      </c>
      <c r="F42" s="326">
        <v>77464</v>
      </c>
      <c r="G42" s="326">
        <v>245</v>
      </c>
      <c r="H42" s="327">
        <v>3433845.2</v>
      </c>
      <c r="I42" s="327">
        <v>1629359.5474</v>
      </c>
      <c r="J42" s="327">
        <v>0</v>
      </c>
      <c r="K42" s="328">
        <f t="shared" si="2"/>
        <v>5063204.7474000007</v>
      </c>
    </row>
    <row r="43" spans="1:11" ht="18" customHeight="1" x14ac:dyDescent="0.4">
      <c r="A43" s="133" t="s">
        <v>90</v>
      </c>
      <c r="B43" s="132" t="s">
        <v>10</v>
      </c>
      <c r="F43" s="326">
        <v>0</v>
      </c>
      <c r="G43" s="326">
        <v>0</v>
      </c>
      <c r="H43" s="327">
        <v>2557223</v>
      </c>
      <c r="I43" s="327">
        <v>1213402.3134999999</v>
      </c>
      <c r="J43" s="327">
        <v>0</v>
      </c>
      <c r="K43" s="328">
        <f t="shared" si="2"/>
        <v>3770625.3135000002</v>
      </c>
    </row>
    <row r="44" spans="1:11" ht="18" customHeight="1" x14ac:dyDescent="0.4">
      <c r="A44" s="133" t="s">
        <v>91</v>
      </c>
      <c r="B44" s="696" t="s">
        <v>286</v>
      </c>
      <c r="C44" s="697"/>
      <c r="D44" s="698"/>
      <c r="F44" s="326">
        <v>41993</v>
      </c>
      <c r="G44" s="326">
        <v>1388</v>
      </c>
      <c r="H44" s="327">
        <v>2073978.46</v>
      </c>
      <c r="I44" s="327">
        <v>984102.77926999994</v>
      </c>
      <c r="J44" s="327">
        <v>55125</v>
      </c>
      <c r="K44" s="328">
        <f t="shared" si="2"/>
        <v>3002956.2392699998</v>
      </c>
    </row>
    <row r="45" spans="1:11" ht="18" customHeight="1" x14ac:dyDescent="0.4">
      <c r="A45" s="133" t="s">
        <v>139</v>
      </c>
      <c r="B45" s="696"/>
      <c r="C45" s="697"/>
      <c r="D45" s="698"/>
      <c r="F45" s="326">
        <v>0</v>
      </c>
      <c r="G45" s="326">
        <v>0</v>
      </c>
      <c r="H45" s="327">
        <v>0</v>
      </c>
      <c r="I45" s="327">
        <v>0</v>
      </c>
      <c r="J45" s="327">
        <v>0</v>
      </c>
      <c r="K45" s="328">
        <f t="shared" si="2"/>
        <v>0</v>
      </c>
    </row>
    <row r="46" spans="1:11" ht="18" customHeight="1" x14ac:dyDescent="0.4">
      <c r="A46" s="133" t="s">
        <v>140</v>
      </c>
      <c r="B46" s="696"/>
      <c r="C46" s="697"/>
      <c r="D46" s="698"/>
      <c r="F46" s="326">
        <v>0</v>
      </c>
      <c r="G46" s="326">
        <v>0</v>
      </c>
      <c r="H46" s="327">
        <v>0</v>
      </c>
      <c r="I46" s="327">
        <v>0</v>
      </c>
      <c r="J46" s="327">
        <v>0</v>
      </c>
      <c r="K46" s="328">
        <f t="shared" si="2"/>
        <v>0</v>
      </c>
    </row>
    <row r="47" spans="1:11" ht="18" customHeight="1" x14ac:dyDescent="0.4">
      <c r="A47" s="133" t="s">
        <v>141</v>
      </c>
      <c r="B47" s="696"/>
      <c r="C47" s="697"/>
      <c r="D47" s="698"/>
      <c r="F47" s="326">
        <v>0</v>
      </c>
      <c r="G47" s="326">
        <v>0</v>
      </c>
      <c r="H47" s="327">
        <v>0</v>
      </c>
      <c r="I47" s="327">
        <v>0</v>
      </c>
      <c r="J47" s="327">
        <v>0</v>
      </c>
      <c r="K47" s="328">
        <f t="shared" si="2"/>
        <v>0</v>
      </c>
    </row>
    <row r="49" spans="1:11" ht="18" customHeight="1" x14ac:dyDescent="0.4">
      <c r="A49" s="118" t="s">
        <v>142</v>
      </c>
      <c r="B49" s="117" t="s">
        <v>143</v>
      </c>
      <c r="E49" s="117" t="s">
        <v>7</v>
      </c>
      <c r="F49" s="329">
        <v>2276273</v>
      </c>
      <c r="G49" s="329">
        <v>3451</v>
      </c>
      <c r="H49" s="328">
        <v>141400860.84</v>
      </c>
      <c r="I49" s="328">
        <v>67094708.46858</v>
      </c>
      <c r="J49" s="328">
        <v>55125</v>
      </c>
      <c r="K49" s="328">
        <f t="shared" ref="K49" si="3">SUM(K40:K47)</f>
        <v>208440444.30858001</v>
      </c>
    </row>
    <row r="50" spans="1:11" ht="18" customHeight="1" thickBot="1" x14ac:dyDescent="0.45">
      <c r="G50" s="123"/>
      <c r="H50" s="123"/>
      <c r="I50" s="123"/>
      <c r="J50" s="123"/>
      <c r="K50" s="123"/>
    </row>
    <row r="51" spans="1:11" ht="42.75" customHeight="1" x14ac:dyDescent="0.4">
      <c r="F51" s="119" t="s">
        <v>9</v>
      </c>
      <c r="G51" s="119" t="s">
        <v>37</v>
      </c>
      <c r="H51" s="119" t="s">
        <v>29</v>
      </c>
      <c r="I51" s="119" t="s">
        <v>30</v>
      </c>
      <c r="J51" s="119" t="s">
        <v>33</v>
      </c>
      <c r="K51" s="119" t="s">
        <v>34</v>
      </c>
    </row>
    <row r="52" spans="1:11" ht="18" customHeight="1" x14ac:dyDescent="0.4">
      <c r="A52" s="118" t="s">
        <v>92</v>
      </c>
      <c r="B52" s="699" t="s">
        <v>38</v>
      </c>
      <c r="C52" s="700"/>
    </row>
    <row r="53" spans="1:11" ht="18" customHeight="1" x14ac:dyDescent="0.4">
      <c r="A53" s="133" t="s">
        <v>51</v>
      </c>
      <c r="B53" s="704" t="s">
        <v>426</v>
      </c>
      <c r="C53" s="705"/>
      <c r="D53" s="703"/>
      <c r="F53" s="326">
        <v>0</v>
      </c>
      <c r="G53" s="326">
        <v>0</v>
      </c>
      <c r="H53" s="327">
        <v>1741717.9186052049</v>
      </c>
      <c r="I53" s="327">
        <v>0</v>
      </c>
      <c r="J53" s="327">
        <v>0</v>
      </c>
      <c r="K53" s="328">
        <f t="shared" ref="K53:K62" si="4">(H53+I53)-J53</f>
        <v>1741717.9186052049</v>
      </c>
    </row>
    <row r="54" spans="1:11" ht="18" customHeight="1" x14ac:dyDescent="0.4">
      <c r="A54" s="133" t="s">
        <v>93</v>
      </c>
      <c r="B54" s="704" t="s">
        <v>287</v>
      </c>
      <c r="C54" s="705"/>
      <c r="D54" s="703"/>
      <c r="F54" s="326">
        <v>1622</v>
      </c>
      <c r="G54" s="326">
        <v>1889</v>
      </c>
      <c r="H54" s="327">
        <v>136757.62</v>
      </c>
      <c r="I54" s="327">
        <v>64891.490689999991</v>
      </c>
      <c r="J54" s="327">
        <v>137217</v>
      </c>
      <c r="K54" s="328">
        <f t="shared" si="4"/>
        <v>64432.110690000001</v>
      </c>
    </row>
    <row r="55" spans="1:11" ht="18" customHeight="1" x14ac:dyDescent="0.4">
      <c r="A55" s="133" t="s">
        <v>94</v>
      </c>
      <c r="B55" s="701" t="s">
        <v>679</v>
      </c>
      <c r="C55" s="702"/>
      <c r="D55" s="703"/>
      <c r="F55" s="326">
        <v>1406</v>
      </c>
      <c r="G55" s="326">
        <v>291</v>
      </c>
      <c r="H55" s="327">
        <v>103762.06</v>
      </c>
      <c r="I55" s="327">
        <v>49235.097469999993</v>
      </c>
      <c r="J55" s="327">
        <v>149557</v>
      </c>
      <c r="K55" s="328">
        <f t="shared" si="4"/>
        <v>3440.1574699999765</v>
      </c>
    </row>
    <row r="56" spans="1:11" ht="18" customHeight="1" x14ac:dyDescent="0.4">
      <c r="A56" s="133" t="s">
        <v>95</v>
      </c>
      <c r="B56" s="701" t="s">
        <v>427</v>
      </c>
      <c r="C56" s="702"/>
      <c r="D56" s="703"/>
      <c r="F56" s="326">
        <v>0</v>
      </c>
      <c r="G56" s="326">
        <v>0</v>
      </c>
      <c r="H56" s="327">
        <v>684009.74299755832</v>
      </c>
      <c r="I56" s="327">
        <v>0</v>
      </c>
      <c r="J56" s="327">
        <v>0</v>
      </c>
      <c r="K56" s="328">
        <f t="shared" si="4"/>
        <v>684009.74299755832</v>
      </c>
    </row>
    <row r="57" spans="1:11" ht="18" customHeight="1" x14ac:dyDescent="0.4">
      <c r="A57" s="133" t="s">
        <v>96</v>
      </c>
      <c r="B57" s="701" t="s">
        <v>461</v>
      </c>
      <c r="C57" s="702"/>
      <c r="D57" s="703"/>
      <c r="F57" s="326">
        <v>0</v>
      </c>
      <c r="G57" s="326">
        <v>0</v>
      </c>
      <c r="H57" s="327">
        <v>8878072.9261050243</v>
      </c>
      <c r="I57" s="327">
        <v>0</v>
      </c>
      <c r="J57" s="327">
        <v>0</v>
      </c>
      <c r="K57" s="328">
        <f t="shared" si="4"/>
        <v>8878072.9261050243</v>
      </c>
    </row>
    <row r="58" spans="1:11" ht="18" customHeight="1" x14ac:dyDescent="0.45">
      <c r="A58" s="133" t="s">
        <v>97</v>
      </c>
      <c r="B58" s="706" t="s">
        <v>288</v>
      </c>
      <c r="C58" s="707"/>
      <c r="D58" s="708"/>
      <c r="F58" s="326">
        <v>0</v>
      </c>
      <c r="G58" s="326">
        <v>443</v>
      </c>
      <c r="H58" s="327">
        <v>40615</v>
      </c>
      <c r="I58" s="327">
        <v>19271.817499999997</v>
      </c>
      <c r="J58" s="327">
        <v>5720</v>
      </c>
      <c r="K58" s="328">
        <f t="shared" si="4"/>
        <v>54166.817499999997</v>
      </c>
    </row>
    <row r="59" spans="1:11" ht="18" customHeight="1" x14ac:dyDescent="0.4">
      <c r="A59" s="133" t="s">
        <v>98</v>
      </c>
      <c r="B59" s="701" t="s">
        <v>680</v>
      </c>
      <c r="C59" s="702"/>
      <c r="D59" s="703"/>
      <c r="F59" s="326">
        <v>525</v>
      </c>
      <c r="G59" s="326">
        <v>707</v>
      </c>
      <c r="H59" s="327">
        <v>19570.7</v>
      </c>
      <c r="I59" s="327">
        <v>9286.2971500000003</v>
      </c>
      <c r="J59" s="327">
        <v>26966</v>
      </c>
      <c r="K59" s="328">
        <f t="shared" si="4"/>
        <v>1890.9971500000029</v>
      </c>
    </row>
    <row r="60" spans="1:11" ht="18" customHeight="1" x14ac:dyDescent="0.45">
      <c r="A60" s="133" t="s">
        <v>99</v>
      </c>
      <c r="B60" s="706" t="s">
        <v>85</v>
      </c>
      <c r="C60" s="709"/>
      <c r="D60" s="710"/>
      <c r="F60" s="326">
        <v>0</v>
      </c>
      <c r="G60" s="326">
        <v>12698</v>
      </c>
      <c r="H60" s="327">
        <v>608924</v>
      </c>
      <c r="I60" s="327">
        <v>93652.511199999994</v>
      </c>
      <c r="J60" s="327">
        <v>0</v>
      </c>
      <c r="K60" s="328">
        <f t="shared" si="4"/>
        <v>702576.51119999995</v>
      </c>
    </row>
    <row r="61" spans="1:11" ht="18" customHeight="1" x14ac:dyDescent="0.4">
      <c r="A61" s="133" t="s">
        <v>100</v>
      </c>
      <c r="B61" s="701"/>
      <c r="C61" s="707"/>
      <c r="D61" s="708"/>
      <c r="F61" s="326">
        <v>0</v>
      </c>
      <c r="G61" s="326">
        <v>0</v>
      </c>
      <c r="H61" s="327">
        <v>0</v>
      </c>
      <c r="I61" s="327">
        <v>0</v>
      </c>
      <c r="J61" s="327">
        <v>0</v>
      </c>
      <c r="K61" s="328">
        <f t="shared" si="4"/>
        <v>0</v>
      </c>
    </row>
    <row r="62" spans="1:11" ht="18" customHeight="1" x14ac:dyDescent="0.4">
      <c r="A62" s="133" t="s">
        <v>101</v>
      </c>
      <c r="B62" s="701" t="s">
        <v>289</v>
      </c>
      <c r="C62" s="702"/>
      <c r="D62" s="703"/>
      <c r="F62" s="326">
        <v>0</v>
      </c>
      <c r="G62" s="326">
        <v>0</v>
      </c>
      <c r="H62" s="327">
        <v>11313451</v>
      </c>
      <c r="I62" s="327">
        <v>0</v>
      </c>
      <c r="J62" s="327">
        <v>307723</v>
      </c>
      <c r="K62" s="328">
        <f t="shared" si="4"/>
        <v>11005728</v>
      </c>
    </row>
    <row r="63" spans="1:11" ht="18" customHeight="1" x14ac:dyDescent="0.4">
      <c r="A63" s="133"/>
      <c r="I63" s="470"/>
    </row>
    <row r="64" spans="1:11" ht="18" customHeight="1" x14ac:dyDescent="0.4">
      <c r="A64" s="133" t="s">
        <v>144</v>
      </c>
      <c r="B64" s="117" t="s">
        <v>145</v>
      </c>
      <c r="E64" s="117" t="s">
        <v>7</v>
      </c>
      <c r="F64" s="329">
        <v>3553</v>
      </c>
      <c r="G64" s="329">
        <v>16028</v>
      </c>
      <c r="H64" s="328">
        <v>23526880.967707787</v>
      </c>
      <c r="I64" s="328">
        <v>236337.21401</v>
      </c>
      <c r="J64" s="328">
        <v>627183</v>
      </c>
      <c r="K64" s="328">
        <f t="shared" ref="K64" si="5">SUM(K53:K62)</f>
        <v>23136035.181717791</v>
      </c>
    </row>
    <row r="65" spans="1:11" ht="18" customHeight="1" x14ac:dyDescent="0.4">
      <c r="F65" s="128"/>
      <c r="G65" s="128"/>
      <c r="H65" s="128"/>
      <c r="I65" s="128"/>
      <c r="J65" s="128"/>
      <c r="K65" s="128"/>
    </row>
    <row r="66" spans="1:11" ht="42.75" customHeight="1" x14ac:dyDescent="0.4">
      <c r="F66" s="119" t="s">
        <v>9</v>
      </c>
      <c r="G66" s="119" t="s">
        <v>37</v>
      </c>
      <c r="H66" s="119" t="s">
        <v>29</v>
      </c>
      <c r="I66" s="119" t="s">
        <v>30</v>
      </c>
      <c r="J66" s="119" t="s">
        <v>33</v>
      </c>
      <c r="K66" s="119" t="s">
        <v>34</v>
      </c>
    </row>
    <row r="67" spans="1:11" ht="18" customHeight="1" x14ac:dyDescent="0.4">
      <c r="A67" s="118" t="s">
        <v>102</v>
      </c>
      <c r="B67" s="117" t="s">
        <v>12</v>
      </c>
      <c r="F67" s="471"/>
      <c r="G67" s="471"/>
      <c r="H67" s="471"/>
      <c r="I67" s="472"/>
      <c r="J67" s="471"/>
      <c r="K67" s="472"/>
    </row>
    <row r="68" spans="1:11" ht="18" customHeight="1" x14ac:dyDescent="0.4">
      <c r="A68" s="133" t="s">
        <v>103</v>
      </c>
      <c r="B68" s="132" t="s">
        <v>52</v>
      </c>
      <c r="F68" s="326">
        <v>0</v>
      </c>
      <c r="G68" s="326">
        <v>0</v>
      </c>
      <c r="H68" s="327">
        <v>0</v>
      </c>
      <c r="I68" s="327">
        <v>0</v>
      </c>
      <c r="J68" s="327">
        <v>0</v>
      </c>
      <c r="K68" s="328">
        <f>(H68+I68)-J68</f>
        <v>0</v>
      </c>
    </row>
    <row r="69" spans="1:11" ht="18" customHeight="1" x14ac:dyDescent="0.4">
      <c r="A69" s="133" t="s">
        <v>104</v>
      </c>
      <c r="B69" s="132" t="s">
        <v>53</v>
      </c>
      <c r="F69" s="326">
        <v>0</v>
      </c>
      <c r="G69" s="326">
        <v>0</v>
      </c>
      <c r="H69" s="327">
        <v>75000</v>
      </c>
      <c r="I69" s="327">
        <v>0</v>
      </c>
      <c r="J69" s="327">
        <v>0</v>
      </c>
      <c r="K69" s="328">
        <f>(H69+I69)-J69</f>
        <v>75000</v>
      </c>
    </row>
    <row r="70" spans="1:11" ht="18" customHeight="1" x14ac:dyDescent="0.4">
      <c r="A70" s="133" t="s">
        <v>178</v>
      </c>
      <c r="B70" s="473"/>
      <c r="C70" s="474"/>
      <c r="D70" s="475"/>
      <c r="E70" s="117"/>
      <c r="F70" s="326">
        <v>0</v>
      </c>
      <c r="G70" s="326">
        <v>0</v>
      </c>
      <c r="H70" s="327">
        <v>0</v>
      </c>
      <c r="I70" s="327">
        <v>0</v>
      </c>
      <c r="J70" s="327">
        <v>0</v>
      </c>
      <c r="K70" s="328">
        <f>(H70+I70)-J70</f>
        <v>0</v>
      </c>
    </row>
    <row r="71" spans="1:11" ht="18" customHeight="1" x14ac:dyDescent="0.4">
      <c r="A71" s="133" t="s">
        <v>179</v>
      </c>
      <c r="B71" s="473"/>
      <c r="C71" s="474"/>
      <c r="D71" s="475"/>
      <c r="E71" s="117"/>
      <c r="F71" s="326">
        <v>0</v>
      </c>
      <c r="G71" s="326">
        <v>0</v>
      </c>
      <c r="H71" s="327">
        <v>0</v>
      </c>
      <c r="I71" s="327">
        <v>0</v>
      </c>
      <c r="J71" s="327">
        <v>0</v>
      </c>
      <c r="K71" s="328">
        <f>(H71+I71)-J71</f>
        <v>0</v>
      </c>
    </row>
    <row r="72" spans="1:11" ht="18" customHeight="1" x14ac:dyDescent="0.4">
      <c r="A72" s="133" t="s">
        <v>180</v>
      </c>
      <c r="B72" s="476"/>
      <c r="C72" s="477"/>
      <c r="D72" s="478"/>
      <c r="E72" s="117"/>
      <c r="F72" s="326">
        <v>0</v>
      </c>
      <c r="G72" s="326">
        <v>0</v>
      </c>
      <c r="H72" s="327">
        <v>0</v>
      </c>
      <c r="I72" s="327">
        <v>0</v>
      </c>
      <c r="J72" s="327">
        <v>0</v>
      </c>
      <c r="K72" s="328">
        <f>(H72+I72)-J72</f>
        <v>0</v>
      </c>
    </row>
    <row r="73" spans="1:11" ht="18" customHeight="1" x14ac:dyDescent="0.4">
      <c r="A73" s="133"/>
      <c r="E73" s="117"/>
      <c r="F73" s="479"/>
      <c r="G73" s="479"/>
      <c r="H73" s="480"/>
      <c r="I73" s="472"/>
      <c r="J73" s="480"/>
      <c r="K73" s="472"/>
    </row>
    <row r="74" spans="1:11" ht="18" customHeight="1" x14ac:dyDescent="0.4">
      <c r="A74" s="118" t="s">
        <v>146</v>
      </c>
      <c r="B74" s="117" t="s">
        <v>147</v>
      </c>
      <c r="E74" s="117" t="s">
        <v>7</v>
      </c>
      <c r="F74" s="481">
        <v>0</v>
      </c>
      <c r="G74" s="481">
        <v>0</v>
      </c>
      <c r="H74" s="328">
        <v>75000</v>
      </c>
      <c r="I74" s="482">
        <v>0</v>
      </c>
      <c r="J74" s="481">
        <v>0</v>
      </c>
      <c r="K74" s="328">
        <f t="shared" ref="K74" si="6">SUM(K68:K72)</f>
        <v>75000</v>
      </c>
    </row>
    <row r="75" spans="1:11" ht="42.75" customHeight="1" x14ac:dyDescent="0.4">
      <c r="F75" s="119" t="s">
        <v>9</v>
      </c>
      <c r="G75" s="119" t="s">
        <v>37</v>
      </c>
      <c r="H75" s="119" t="s">
        <v>29</v>
      </c>
      <c r="I75" s="119" t="s">
        <v>30</v>
      </c>
      <c r="J75" s="119" t="s">
        <v>33</v>
      </c>
      <c r="K75" s="119" t="s">
        <v>34</v>
      </c>
    </row>
    <row r="76" spans="1:11" ht="18" customHeight="1" x14ac:dyDescent="0.4">
      <c r="A76" s="118" t="s">
        <v>105</v>
      </c>
      <c r="B76" s="117" t="s">
        <v>106</v>
      </c>
    </row>
    <row r="77" spans="1:11" ht="18" customHeight="1" x14ac:dyDescent="0.4">
      <c r="A77" s="133" t="s">
        <v>107</v>
      </c>
      <c r="B77" s="132" t="s">
        <v>54</v>
      </c>
      <c r="F77" s="326">
        <v>9</v>
      </c>
      <c r="G77" s="326">
        <v>453</v>
      </c>
      <c r="H77" s="327">
        <v>1628996.4</v>
      </c>
      <c r="I77" s="327">
        <v>0</v>
      </c>
      <c r="J77" s="327">
        <v>103399</v>
      </c>
      <c r="K77" s="328">
        <f>(H77+I77)-J77</f>
        <v>1525597.4</v>
      </c>
    </row>
    <row r="78" spans="1:11" ht="18" customHeight="1" x14ac:dyDescent="0.4">
      <c r="A78" s="133" t="s">
        <v>108</v>
      </c>
      <c r="B78" s="132" t="s">
        <v>55</v>
      </c>
      <c r="F78" s="326">
        <v>0</v>
      </c>
      <c r="G78" s="326">
        <v>0</v>
      </c>
      <c r="H78" s="327">
        <v>0</v>
      </c>
      <c r="I78" s="327">
        <v>0</v>
      </c>
      <c r="J78" s="327">
        <v>0</v>
      </c>
      <c r="K78" s="328">
        <f>(H78+I78)-J78</f>
        <v>0</v>
      </c>
    </row>
    <row r="79" spans="1:11" ht="18" customHeight="1" x14ac:dyDescent="0.4">
      <c r="A79" s="133" t="s">
        <v>109</v>
      </c>
      <c r="B79" s="132" t="s">
        <v>13</v>
      </c>
      <c r="F79" s="326">
        <v>859</v>
      </c>
      <c r="G79" s="326">
        <v>326</v>
      </c>
      <c r="H79" s="327">
        <v>110471.45999999999</v>
      </c>
      <c r="I79" s="327">
        <v>3274.8092000000001</v>
      </c>
      <c r="J79" s="327">
        <v>0</v>
      </c>
      <c r="K79" s="328">
        <f>(H79+I79)-J79</f>
        <v>113746.2692</v>
      </c>
    </row>
    <row r="80" spans="1:11" ht="18" customHeight="1" x14ac:dyDescent="0.4">
      <c r="A80" s="133" t="s">
        <v>110</v>
      </c>
      <c r="B80" s="132" t="s">
        <v>56</v>
      </c>
      <c r="F80" s="326">
        <v>90</v>
      </c>
      <c r="G80" s="326">
        <v>8</v>
      </c>
      <c r="H80" s="327">
        <v>5853.4</v>
      </c>
      <c r="I80" s="327">
        <v>0</v>
      </c>
      <c r="J80" s="327">
        <v>0</v>
      </c>
      <c r="K80" s="328">
        <f>(H80+I80)-J80</f>
        <v>5853.4</v>
      </c>
    </row>
    <row r="81" spans="1:11" ht="18" customHeight="1" x14ac:dyDescent="0.4">
      <c r="A81" s="133"/>
      <c r="K81" s="330"/>
    </row>
    <row r="82" spans="1:11" ht="18" customHeight="1" x14ac:dyDescent="0.4">
      <c r="A82" s="133" t="s">
        <v>148</v>
      </c>
      <c r="B82" s="117" t="s">
        <v>149</v>
      </c>
      <c r="E82" s="117" t="s">
        <v>7</v>
      </c>
      <c r="F82" s="329">
        <v>958</v>
      </c>
      <c r="G82" s="329">
        <v>787</v>
      </c>
      <c r="H82" s="328">
        <v>1745321.2599999998</v>
      </c>
      <c r="I82" s="328">
        <v>3274.8092000000001</v>
      </c>
      <c r="J82" s="328">
        <v>103399</v>
      </c>
      <c r="K82" s="328">
        <f t="shared" ref="K82" si="7">SUM(K77:K80)</f>
        <v>1645197.0691999998</v>
      </c>
    </row>
    <row r="83" spans="1:11" ht="18" customHeight="1" thickBot="1" x14ac:dyDescent="0.45">
      <c r="A83" s="133"/>
      <c r="F83" s="123"/>
      <c r="G83" s="123"/>
      <c r="H83" s="123"/>
      <c r="I83" s="123"/>
      <c r="J83" s="123"/>
      <c r="K83" s="123"/>
    </row>
    <row r="84" spans="1:11" ht="42.75" customHeight="1" x14ac:dyDescent="0.4">
      <c r="F84" s="119" t="s">
        <v>9</v>
      </c>
      <c r="G84" s="119" t="s">
        <v>37</v>
      </c>
      <c r="H84" s="119" t="s">
        <v>29</v>
      </c>
      <c r="I84" s="119" t="s">
        <v>30</v>
      </c>
      <c r="J84" s="119" t="s">
        <v>33</v>
      </c>
      <c r="K84" s="119" t="s">
        <v>34</v>
      </c>
    </row>
    <row r="85" spans="1:11" ht="18" customHeight="1" x14ac:dyDescent="0.4">
      <c r="A85" s="118" t="s">
        <v>111</v>
      </c>
      <c r="B85" s="117" t="s">
        <v>57</v>
      </c>
    </row>
    <row r="86" spans="1:11" ht="18" customHeight="1" x14ac:dyDescent="0.4">
      <c r="A86" s="133" t="s">
        <v>112</v>
      </c>
      <c r="B86" s="132" t="s">
        <v>113</v>
      </c>
      <c r="F86" s="326">
        <v>220</v>
      </c>
      <c r="G86" s="326">
        <v>0</v>
      </c>
      <c r="H86" s="327">
        <v>11730.36</v>
      </c>
      <c r="I86" s="327">
        <v>5566.0558199999996</v>
      </c>
      <c r="J86" s="327">
        <v>0</v>
      </c>
      <c r="K86" s="328">
        <f t="shared" ref="K86:K96" si="8">(H86+I86)-J86</f>
        <v>17296.415820000002</v>
      </c>
    </row>
    <row r="87" spans="1:11" ht="18" customHeight="1" x14ac:dyDescent="0.4">
      <c r="A87" s="133" t="s">
        <v>114</v>
      </c>
      <c r="B87" s="132" t="s">
        <v>14</v>
      </c>
      <c r="F87" s="326">
        <v>2499</v>
      </c>
      <c r="G87" s="326">
        <v>261</v>
      </c>
      <c r="H87" s="327">
        <v>264340.8</v>
      </c>
      <c r="I87" s="327">
        <v>125429.7096</v>
      </c>
      <c r="J87" s="327">
        <v>0</v>
      </c>
      <c r="K87" s="328">
        <f t="shared" si="8"/>
        <v>389770.50959999999</v>
      </c>
    </row>
    <row r="88" spans="1:11" ht="18" customHeight="1" x14ac:dyDescent="0.4">
      <c r="A88" s="133" t="s">
        <v>115</v>
      </c>
      <c r="B88" s="132" t="s">
        <v>116</v>
      </c>
      <c r="F88" s="326">
        <v>47296</v>
      </c>
      <c r="G88" s="326">
        <v>2735</v>
      </c>
      <c r="H88" s="327">
        <v>1317240.8199999998</v>
      </c>
      <c r="I88" s="327">
        <v>625030.76909000007</v>
      </c>
      <c r="J88" s="327">
        <v>0</v>
      </c>
      <c r="K88" s="328">
        <f t="shared" si="8"/>
        <v>1942271.5890899999</v>
      </c>
    </row>
    <row r="89" spans="1:11" ht="18" customHeight="1" x14ac:dyDescent="0.4">
      <c r="A89" s="133" t="s">
        <v>117</v>
      </c>
      <c r="B89" s="132" t="s">
        <v>58</v>
      </c>
      <c r="F89" s="326">
        <v>3307</v>
      </c>
      <c r="G89" s="326">
        <v>1</v>
      </c>
      <c r="H89" s="327">
        <v>125388.68</v>
      </c>
      <c r="I89" s="327">
        <v>59496.928659999998</v>
      </c>
      <c r="J89" s="327">
        <v>0</v>
      </c>
      <c r="K89" s="328">
        <f t="shared" si="8"/>
        <v>184885.60866</v>
      </c>
    </row>
    <row r="90" spans="1:11" ht="18" customHeight="1" x14ac:dyDescent="0.4">
      <c r="A90" s="133" t="s">
        <v>118</v>
      </c>
      <c r="B90" s="711" t="s">
        <v>59</v>
      </c>
      <c r="C90" s="711"/>
      <c r="F90" s="326">
        <v>0</v>
      </c>
      <c r="G90" s="326">
        <v>0</v>
      </c>
      <c r="H90" s="327">
        <v>0</v>
      </c>
      <c r="I90" s="327">
        <v>0</v>
      </c>
      <c r="J90" s="327">
        <v>0</v>
      </c>
      <c r="K90" s="328">
        <f t="shared" si="8"/>
        <v>0</v>
      </c>
    </row>
    <row r="91" spans="1:11" ht="18" customHeight="1" x14ac:dyDescent="0.4">
      <c r="A91" s="133" t="s">
        <v>119</v>
      </c>
      <c r="B91" s="132" t="s">
        <v>60</v>
      </c>
      <c r="F91" s="326">
        <v>4714</v>
      </c>
      <c r="G91" s="326">
        <v>0</v>
      </c>
      <c r="H91" s="327">
        <v>370629.1</v>
      </c>
      <c r="I91" s="327">
        <v>175863.50795</v>
      </c>
      <c r="J91" s="327">
        <v>0</v>
      </c>
      <c r="K91" s="328">
        <f t="shared" si="8"/>
        <v>546492.60794999998</v>
      </c>
    </row>
    <row r="92" spans="1:11" ht="18" customHeight="1" x14ac:dyDescent="0.4">
      <c r="A92" s="133" t="s">
        <v>120</v>
      </c>
      <c r="B92" s="132" t="s">
        <v>121</v>
      </c>
      <c r="F92" s="326">
        <v>5086.5</v>
      </c>
      <c r="G92" s="326">
        <v>0</v>
      </c>
      <c r="H92" s="327">
        <v>446106.56</v>
      </c>
      <c r="I92" s="327">
        <v>211677.56272000002</v>
      </c>
      <c r="J92" s="327">
        <v>0</v>
      </c>
      <c r="K92" s="328">
        <f t="shared" si="8"/>
        <v>657784.12271999998</v>
      </c>
    </row>
    <row r="93" spans="1:11" ht="18" customHeight="1" x14ac:dyDescent="0.4">
      <c r="A93" s="133" t="s">
        <v>122</v>
      </c>
      <c r="B93" s="132" t="s">
        <v>123</v>
      </c>
      <c r="F93" s="326">
        <v>1341.5</v>
      </c>
      <c r="G93" s="326">
        <v>1355</v>
      </c>
      <c r="H93" s="327">
        <v>134342.72</v>
      </c>
      <c r="I93" s="327">
        <v>63745.620639999994</v>
      </c>
      <c r="J93" s="327">
        <v>0</v>
      </c>
      <c r="K93" s="328">
        <f t="shared" si="8"/>
        <v>198088.34064000001</v>
      </c>
    </row>
    <row r="94" spans="1:11" ht="18" customHeight="1" x14ac:dyDescent="0.4">
      <c r="A94" s="133" t="s">
        <v>124</v>
      </c>
      <c r="B94" s="701" t="s">
        <v>290</v>
      </c>
      <c r="C94" s="702"/>
      <c r="D94" s="703"/>
      <c r="F94" s="326">
        <v>1777</v>
      </c>
      <c r="G94" s="326">
        <v>1040</v>
      </c>
      <c r="H94" s="327">
        <v>160882.84</v>
      </c>
      <c r="I94" s="327">
        <v>76338.907579999999</v>
      </c>
      <c r="J94" s="327">
        <v>0</v>
      </c>
      <c r="K94" s="328">
        <f t="shared" si="8"/>
        <v>237221.74758</v>
      </c>
    </row>
    <row r="95" spans="1:11" ht="18" customHeight="1" x14ac:dyDescent="0.4">
      <c r="A95" s="133" t="s">
        <v>125</v>
      </c>
      <c r="B95" s="701"/>
      <c r="C95" s="702"/>
      <c r="D95" s="703"/>
      <c r="F95" s="326">
        <v>0</v>
      </c>
      <c r="G95" s="326">
        <v>0</v>
      </c>
      <c r="H95" s="327">
        <v>0</v>
      </c>
      <c r="I95" s="327">
        <v>0</v>
      </c>
      <c r="J95" s="327">
        <v>0</v>
      </c>
      <c r="K95" s="328">
        <f t="shared" si="8"/>
        <v>0</v>
      </c>
    </row>
    <row r="96" spans="1:11" ht="18" customHeight="1" x14ac:dyDescent="0.4">
      <c r="A96" s="133" t="s">
        <v>126</v>
      </c>
      <c r="B96" s="701"/>
      <c r="C96" s="702"/>
      <c r="D96" s="703"/>
      <c r="F96" s="326">
        <v>0</v>
      </c>
      <c r="G96" s="326">
        <v>0</v>
      </c>
      <c r="H96" s="327">
        <v>0</v>
      </c>
      <c r="I96" s="327">
        <v>0</v>
      </c>
      <c r="J96" s="327">
        <v>0</v>
      </c>
      <c r="K96" s="328">
        <f t="shared" si="8"/>
        <v>0</v>
      </c>
    </row>
    <row r="97" spans="1:11" ht="18" customHeight="1" x14ac:dyDescent="0.4">
      <c r="A97" s="133"/>
    </row>
    <row r="98" spans="1:11" ht="18" customHeight="1" x14ac:dyDescent="0.4">
      <c r="A98" s="118" t="s">
        <v>150</v>
      </c>
      <c r="B98" s="117" t="s">
        <v>151</v>
      </c>
      <c r="E98" s="117" t="s">
        <v>7</v>
      </c>
      <c r="F98" s="329">
        <v>66241</v>
      </c>
      <c r="G98" s="329">
        <v>5392</v>
      </c>
      <c r="H98" s="328">
        <v>2830661.88</v>
      </c>
      <c r="I98" s="328">
        <v>1343149.0620599999</v>
      </c>
      <c r="J98" s="328">
        <v>0</v>
      </c>
      <c r="K98" s="328">
        <f t="shared" ref="K98" si="9">SUM(K86:K96)</f>
        <v>4173810.9420600003</v>
      </c>
    </row>
    <row r="99" spans="1:11" ht="18" customHeight="1" thickBot="1" x14ac:dyDescent="0.45">
      <c r="B99" s="117"/>
      <c r="F99" s="123"/>
      <c r="G99" s="123"/>
      <c r="H99" s="123"/>
      <c r="I99" s="123"/>
      <c r="J99" s="123"/>
      <c r="K99" s="123"/>
    </row>
    <row r="100" spans="1:11" ht="42.75" customHeight="1" x14ac:dyDescent="0.4">
      <c r="F100" s="119" t="s">
        <v>9</v>
      </c>
      <c r="G100" s="119" t="s">
        <v>37</v>
      </c>
      <c r="H100" s="119" t="s">
        <v>29</v>
      </c>
      <c r="I100" s="119" t="s">
        <v>30</v>
      </c>
      <c r="J100" s="119" t="s">
        <v>33</v>
      </c>
      <c r="K100" s="119" t="s">
        <v>34</v>
      </c>
    </row>
    <row r="101" spans="1:11" ht="18" customHeight="1" x14ac:dyDescent="0.4">
      <c r="A101" s="118" t="s">
        <v>130</v>
      </c>
      <c r="B101" s="117" t="s">
        <v>63</v>
      </c>
    </row>
    <row r="102" spans="1:11" ht="18" customHeight="1" x14ac:dyDescent="0.4">
      <c r="A102" s="133" t="s">
        <v>131</v>
      </c>
      <c r="B102" s="132" t="s">
        <v>152</v>
      </c>
      <c r="F102" s="326">
        <v>5691.5</v>
      </c>
      <c r="G102" s="326">
        <v>0</v>
      </c>
      <c r="H102" s="327">
        <v>478916.02</v>
      </c>
      <c r="I102" s="327">
        <v>227245.65148999999</v>
      </c>
      <c r="J102" s="327">
        <v>0</v>
      </c>
      <c r="K102" s="328">
        <f>(H102+I102)-J102</f>
        <v>706161.67148999998</v>
      </c>
    </row>
    <row r="103" spans="1:11" ht="18" customHeight="1" x14ac:dyDescent="0.4">
      <c r="A103" s="133" t="s">
        <v>132</v>
      </c>
      <c r="B103" s="711" t="s">
        <v>62</v>
      </c>
      <c r="C103" s="711"/>
      <c r="F103" s="326">
        <v>642</v>
      </c>
      <c r="G103" s="326">
        <v>0</v>
      </c>
      <c r="H103" s="327">
        <v>58133.22</v>
      </c>
      <c r="I103" s="327">
        <v>27584.212889999999</v>
      </c>
      <c r="J103" s="327">
        <v>0</v>
      </c>
      <c r="K103" s="328">
        <f>(H103+I103)-J103</f>
        <v>85717.432889999996</v>
      </c>
    </row>
    <row r="104" spans="1:11" ht="18" customHeight="1" x14ac:dyDescent="0.4">
      <c r="A104" s="133" t="s">
        <v>128</v>
      </c>
      <c r="B104" s="701" t="s">
        <v>291</v>
      </c>
      <c r="C104" s="702"/>
      <c r="D104" s="703"/>
      <c r="F104" s="326">
        <v>0</v>
      </c>
      <c r="G104" s="326">
        <v>0</v>
      </c>
      <c r="H104" s="327">
        <v>75617</v>
      </c>
      <c r="I104" s="327">
        <v>35880.266499999998</v>
      </c>
      <c r="J104" s="327">
        <v>0</v>
      </c>
      <c r="K104" s="328">
        <f>(H104+I104)-J104</f>
        <v>111497.2665</v>
      </c>
    </row>
    <row r="105" spans="1:11" ht="18" customHeight="1" x14ac:dyDescent="0.4">
      <c r="A105" s="133" t="s">
        <v>127</v>
      </c>
      <c r="B105" s="701"/>
      <c r="C105" s="702"/>
      <c r="D105" s="703"/>
      <c r="F105" s="326">
        <v>0</v>
      </c>
      <c r="G105" s="326">
        <v>0</v>
      </c>
      <c r="H105" s="327">
        <v>0</v>
      </c>
      <c r="I105" s="327">
        <v>0</v>
      </c>
      <c r="J105" s="327">
        <v>0</v>
      </c>
      <c r="K105" s="328">
        <f>(H105+I105)-J105</f>
        <v>0</v>
      </c>
    </row>
    <row r="106" spans="1:11" ht="18" customHeight="1" x14ac:dyDescent="0.4">
      <c r="A106" s="133" t="s">
        <v>129</v>
      </c>
      <c r="B106" s="701"/>
      <c r="C106" s="702"/>
      <c r="D106" s="703"/>
      <c r="F106" s="326">
        <v>0</v>
      </c>
      <c r="G106" s="326">
        <v>0</v>
      </c>
      <c r="H106" s="327">
        <v>0</v>
      </c>
      <c r="I106" s="327">
        <v>0</v>
      </c>
      <c r="J106" s="327">
        <v>0</v>
      </c>
      <c r="K106" s="328">
        <f>(H106+I106)-J106</f>
        <v>0</v>
      </c>
    </row>
    <row r="107" spans="1:11" ht="18" customHeight="1" x14ac:dyDescent="0.4">
      <c r="B107" s="117"/>
    </row>
    <row r="108" spans="1:11" ht="18" customHeight="1" x14ac:dyDescent="0.4">
      <c r="A108" s="118" t="s">
        <v>153</v>
      </c>
      <c r="B108" s="117" t="s">
        <v>154</v>
      </c>
      <c r="E108" s="117" t="s">
        <v>7</v>
      </c>
      <c r="F108" s="329">
        <v>6333.5</v>
      </c>
      <c r="G108" s="329">
        <v>0</v>
      </c>
      <c r="H108" s="328">
        <v>612666.24</v>
      </c>
      <c r="I108" s="328">
        <v>290710.13087999995</v>
      </c>
      <c r="J108" s="328">
        <v>0</v>
      </c>
      <c r="K108" s="328">
        <f t="shared" ref="K108" si="10">SUM(K102:K106)</f>
        <v>903376.37087999994</v>
      </c>
    </row>
    <row r="109" spans="1:11" ht="18" customHeight="1" thickBot="1" x14ac:dyDescent="0.45">
      <c r="A109" s="120"/>
      <c r="B109" s="121"/>
      <c r="C109" s="122"/>
      <c r="D109" s="122"/>
      <c r="E109" s="122"/>
      <c r="F109" s="123"/>
      <c r="G109" s="123"/>
      <c r="H109" s="123"/>
      <c r="I109" s="123"/>
      <c r="J109" s="123"/>
      <c r="K109" s="123"/>
    </row>
    <row r="110" spans="1:11" ht="18" customHeight="1" x14ac:dyDescent="0.4">
      <c r="A110" s="118" t="s">
        <v>156</v>
      </c>
      <c r="B110" s="117" t="s">
        <v>39</v>
      </c>
    </row>
    <row r="111" spans="1:11" ht="18" customHeight="1" x14ac:dyDescent="0.4">
      <c r="A111" s="118" t="s">
        <v>155</v>
      </c>
      <c r="B111" s="117" t="s">
        <v>164</v>
      </c>
      <c r="E111" s="117" t="s">
        <v>7</v>
      </c>
      <c r="F111" s="327">
        <v>35067000</v>
      </c>
    </row>
    <row r="112" spans="1:11" ht="18" customHeight="1" x14ac:dyDescent="0.4">
      <c r="B112" s="117"/>
      <c r="E112" s="117"/>
    </row>
    <row r="113" spans="1:6" ht="18" customHeight="1" x14ac:dyDescent="0.4">
      <c r="A113" s="118"/>
      <c r="B113" s="117" t="s">
        <v>15</v>
      </c>
    </row>
    <row r="114" spans="1:6" ht="18" customHeight="1" x14ac:dyDescent="0.4">
      <c r="A114" s="133" t="s">
        <v>171</v>
      </c>
      <c r="B114" s="132" t="s">
        <v>35</v>
      </c>
      <c r="F114" s="331">
        <v>0.47449999999999998</v>
      </c>
    </row>
    <row r="115" spans="1:6" ht="18" customHeight="1" x14ac:dyDescent="0.4">
      <c r="A115" s="133"/>
      <c r="B115" s="117"/>
    </row>
    <row r="116" spans="1:6" ht="18" customHeight="1" x14ac:dyDescent="0.4">
      <c r="A116" s="133" t="s">
        <v>170</v>
      </c>
      <c r="B116" s="117" t="s">
        <v>16</v>
      </c>
    </row>
    <row r="117" spans="1:6" ht="18" customHeight="1" x14ac:dyDescent="0.4">
      <c r="A117" s="133" t="s">
        <v>172</v>
      </c>
      <c r="B117" s="132" t="s">
        <v>17</v>
      </c>
      <c r="F117" s="332">
        <v>2075041000</v>
      </c>
    </row>
    <row r="118" spans="1:6" ht="18" customHeight="1" x14ac:dyDescent="0.4">
      <c r="A118" s="133" t="s">
        <v>173</v>
      </c>
      <c r="B118" s="132" t="s">
        <v>18</v>
      </c>
      <c r="F118" s="332">
        <v>542461000</v>
      </c>
    </row>
    <row r="119" spans="1:6" ht="18" customHeight="1" x14ac:dyDescent="0.4">
      <c r="A119" s="133" t="s">
        <v>174</v>
      </c>
      <c r="B119" s="117" t="s">
        <v>19</v>
      </c>
      <c r="F119" s="328">
        <v>2617502000</v>
      </c>
    </row>
    <row r="120" spans="1:6" ht="18" customHeight="1" x14ac:dyDescent="0.4">
      <c r="A120" s="133"/>
      <c r="B120" s="117"/>
    </row>
    <row r="121" spans="1:6" ht="18" customHeight="1" x14ac:dyDescent="0.4">
      <c r="A121" s="133" t="s">
        <v>167</v>
      </c>
      <c r="B121" s="117" t="s">
        <v>36</v>
      </c>
      <c r="F121" s="332">
        <v>2658945000</v>
      </c>
    </row>
    <row r="122" spans="1:6" ht="18" customHeight="1" x14ac:dyDescent="0.4">
      <c r="A122" s="133"/>
    </row>
    <row r="123" spans="1:6" ht="18" customHeight="1" x14ac:dyDescent="0.4">
      <c r="A123" s="133" t="s">
        <v>175</v>
      </c>
      <c r="B123" s="117" t="s">
        <v>20</v>
      </c>
      <c r="F123" s="327">
        <v>-41443000</v>
      </c>
    </row>
    <row r="124" spans="1:6" ht="18" customHeight="1" x14ac:dyDescent="0.4">
      <c r="A124" s="133"/>
    </row>
    <row r="125" spans="1:6" ht="18" customHeight="1" x14ac:dyDescent="0.4">
      <c r="A125" s="133" t="s">
        <v>176</v>
      </c>
      <c r="B125" s="117" t="s">
        <v>21</v>
      </c>
      <c r="F125" s="333">
        <v>-67515000</v>
      </c>
    </row>
    <row r="126" spans="1:6" ht="18" customHeight="1" x14ac:dyDescent="0.4">
      <c r="A126" s="133"/>
    </row>
    <row r="127" spans="1:6" ht="18" customHeight="1" x14ac:dyDescent="0.4">
      <c r="A127" s="133" t="s">
        <v>177</v>
      </c>
      <c r="B127" s="117" t="s">
        <v>22</v>
      </c>
      <c r="F127" s="327">
        <v>-108958000</v>
      </c>
    </row>
    <row r="128" spans="1:6" ht="18" customHeight="1" x14ac:dyDescent="0.4">
      <c r="A128" s="133"/>
    </row>
    <row r="129" spans="1:11" ht="42.75" customHeight="1" x14ac:dyDescent="0.4">
      <c r="F129" s="119" t="s">
        <v>9</v>
      </c>
      <c r="G129" s="119" t="s">
        <v>37</v>
      </c>
      <c r="H129" s="119" t="s">
        <v>29</v>
      </c>
      <c r="I129" s="119" t="s">
        <v>30</v>
      </c>
      <c r="J129" s="119" t="s">
        <v>33</v>
      </c>
      <c r="K129" s="119" t="s">
        <v>34</v>
      </c>
    </row>
    <row r="130" spans="1:11" ht="18" customHeight="1" x14ac:dyDescent="0.4">
      <c r="A130" s="118" t="s">
        <v>157</v>
      </c>
      <c r="B130" s="117" t="s">
        <v>23</v>
      </c>
    </row>
    <row r="131" spans="1:11" ht="18" customHeight="1" x14ac:dyDescent="0.4">
      <c r="A131" s="133" t="s">
        <v>158</v>
      </c>
      <c r="B131" s="132" t="s">
        <v>24</v>
      </c>
      <c r="F131" s="326">
        <v>0</v>
      </c>
      <c r="G131" s="326">
        <v>0</v>
      </c>
      <c r="H131" s="327">
        <v>0</v>
      </c>
      <c r="I131" s="327">
        <v>0</v>
      </c>
      <c r="J131" s="327">
        <v>0</v>
      </c>
      <c r="K131" s="328">
        <f>(H131+I131)-J131</f>
        <v>0</v>
      </c>
    </row>
    <row r="132" spans="1:11" ht="18" customHeight="1" x14ac:dyDescent="0.4">
      <c r="A132" s="133" t="s">
        <v>159</v>
      </c>
      <c r="B132" s="132" t="s">
        <v>25</v>
      </c>
      <c r="F132" s="326">
        <v>0</v>
      </c>
      <c r="G132" s="326">
        <v>0</v>
      </c>
      <c r="H132" s="327">
        <v>0</v>
      </c>
      <c r="I132" s="327">
        <v>0</v>
      </c>
      <c r="J132" s="327">
        <v>0</v>
      </c>
      <c r="K132" s="328">
        <f>(H132+I132)-J132</f>
        <v>0</v>
      </c>
    </row>
    <row r="133" spans="1:11" ht="18" customHeight="1" x14ac:dyDescent="0.4">
      <c r="A133" s="133" t="s">
        <v>160</v>
      </c>
      <c r="B133" s="696"/>
      <c r="C133" s="697"/>
      <c r="D133" s="698"/>
      <c r="F133" s="326">
        <v>0</v>
      </c>
      <c r="G133" s="326">
        <v>0</v>
      </c>
      <c r="H133" s="327">
        <v>0</v>
      </c>
      <c r="I133" s="327">
        <v>0</v>
      </c>
      <c r="J133" s="327">
        <v>0</v>
      </c>
      <c r="K133" s="328">
        <f>(H133+I133)-J133</f>
        <v>0</v>
      </c>
    </row>
    <row r="134" spans="1:11" ht="18" customHeight="1" x14ac:dyDescent="0.4">
      <c r="A134" s="133" t="s">
        <v>161</v>
      </c>
      <c r="B134" s="696"/>
      <c r="C134" s="697"/>
      <c r="D134" s="698"/>
      <c r="F134" s="326">
        <v>0</v>
      </c>
      <c r="G134" s="326">
        <v>0</v>
      </c>
      <c r="H134" s="327">
        <v>0</v>
      </c>
      <c r="I134" s="327">
        <v>0</v>
      </c>
      <c r="J134" s="327">
        <v>0</v>
      </c>
      <c r="K134" s="328">
        <f>(H134+I134)-J134</f>
        <v>0</v>
      </c>
    </row>
    <row r="135" spans="1:11" ht="18" customHeight="1" x14ac:dyDescent="0.4">
      <c r="A135" s="133" t="s">
        <v>162</v>
      </c>
      <c r="B135" s="696"/>
      <c r="C135" s="697"/>
      <c r="D135" s="698"/>
      <c r="F135" s="326">
        <v>0</v>
      </c>
      <c r="G135" s="326">
        <v>0</v>
      </c>
      <c r="H135" s="327">
        <v>0</v>
      </c>
      <c r="I135" s="327">
        <v>0</v>
      </c>
      <c r="J135" s="327">
        <v>0</v>
      </c>
      <c r="K135" s="328">
        <f>(H135+I135)-J135</f>
        <v>0</v>
      </c>
    </row>
    <row r="136" spans="1:11" ht="18" customHeight="1" x14ac:dyDescent="0.4">
      <c r="A136" s="118"/>
    </row>
    <row r="137" spans="1:11" ht="18" customHeight="1" x14ac:dyDescent="0.4">
      <c r="A137" s="118" t="s">
        <v>163</v>
      </c>
      <c r="B137" s="117" t="s">
        <v>27</v>
      </c>
      <c r="F137" s="329">
        <f t="shared" ref="F137:K137" si="11">SUM(F131:F135)</f>
        <v>0</v>
      </c>
      <c r="G137" s="329">
        <f t="shared" si="11"/>
        <v>0</v>
      </c>
      <c r="H137" s="328">
        <f t="shared" si="11"/>
        <v>0</v>
      </c>
      <c r="I137" s="328">
        <f t="shared" si="11"/>
        <v>0</v>
      </c>
      <c r="J137" s="328">
        <f t="shared" si="11"/>
        <v>0</v>
      </c>
      <c r="K137" s="328">
        <f t="shared" si="11"/>
        <v>0</v>
      </c>
    </row>
    <row r="138" spans="1:11" ht="18" customHeight="1" x14ac:dyDescent="0.4">
      <c r="A138" s="132"/>
    </row>
    <row r="139" spans="1:11" ht="42.75" customHeight="1" x14ac:dyDescent="0.4">
      <c r="F139" s="119" t="s">
        <v>9</v>
      </c>
      <c r="G139" s="119" t="s">
        <v>37</v>
      </c>
      <c r="H139" s="119" t="s">
        <v>29</v>
      </c>
      <c r="I139" s="119" t="s">
        <v>30</v>
      </c>
      <c r="J139" s="119" t="s">
        <v>33</v>
      </c>
      <c r="K139" s="119" t="s">
        <v>34</v>
      </c>
    </row>
    <row r="140" spans="1:11" ht="18" customHeight="1" x14ac:dyDescent="0.4">
      <c r="A140" s="118" t="s">
        <v>166</v>
      </c>
      <c r="B140" s="117" t="s">
        <v>26</v>
      </c>
    </row>
    <row r="141" spans="1:11" ht="18" customHeight="1" x14ac:dyDescent="0.4">
      <c r="A141" s="133" t="s">
        <v>137</v>
      </c>
      <c r="B141" s="117" t="s">
        <v>64</v>
      </c>
      <c r="F141" s="125">
        <f t="shared" ref="F141:K141" si="12">F36</f>
        <v>112491</v>
      </c>
      <c r="G141" s="125">
        <f t="shared" si="12"/>
        <v>1592037.95</v>
      </c>
      <c r="H141" s="125">
        <f t="shared" si="12"/>
        <v>21521328.120000001</v>
      </c>
      <c r="I141" s="125">
        <f t="shared" si="12"/>
        <v>9580388.4818399996</v>
      </c>
      <c r="J141" s="125">
        <f t="shared" si="12"/>
        <v>1438706</v>
      </c>
      <c r="K141" s="125">
        <f t="shared" si="12"/>
        <v>29663010.601840004</v>
      </c>
    </row>
    <row r="142" spans="1:11" ht="18" customHeight="1" x14ac:dyDescent="0.4">
      <c r="A142" s="133" t="s">
        <v>142</v>
      </c>
      <c r="B142" s="117" t="s">
        <v>65</v>
      </c>
      <c r="F142" s="125">
        <f t="shared" ref="F142:K142" si="13">F49</f>
        <v>2276273</v>
      </c>
      <c r="G142" s="125">
        <f t="shared" si="13"/>
        <v>3451</v>
      </c>
      <c r="H142" s="125">
        <f t="shared" si="13"/>
        <v>141400860.84</v>
      </c>
      <c r="I142" s="125">
        <f t="shared" si="13"/>
        <v>67094708.46858</v>
      </c>
      <c r="J142" s="125">
        <f t="shared" si="13"/>
        <v>55125</v>
      </c>
      <c r="K142" s="125">
        <f t="shared" si="13"/>
        <v>208440444.30858001</v>
      </c>
    </row>
    <row r="143" spans="1:11" ht="18" customHeight="1" x14ac:dyDescent="0.4">
      <c r="A143" s="133" t="s">
        <v>144</v>
      </c>
      <c r="B143" s="117" t="s">
        <v>66</v>
      </c>
      <c r="F143" s="125">
        <f t="shared" ref="F143:K143" si="14">F64</f>
        <v>3553</v>
      </c>
      <c r="G143" s="125">
        <f t="shared" si="14"/>
        <v>16028</v>
      </c>
      <c r="H143" s="125">
        <f t="shared" si="14"/>
        <v>23526880.967707787</v>
      </c>
      <c r="I143" s="125">
        <f t="shared" si="14"/>
        <v>236337.21401</v>
      </c>
      <c r="J143" s="125">
        <f t="shared" si="14"/>
        <v>627183</v>
      </c>
      <c r="K143" s="125">
        <f t="shared" si="14"/>
        <v>23136035.181717791</v>
      </c>
    </row>
    <row r="144" spans="1:11" ht="18" customHeight="1" x14ac:dyDescent="0.4">
      <c r="A144" s="133" t="s">
        <v>146</v>
      </c>
      <c r="B144" s="117" t="s">
        <v>67</v>
      </c>
      <c r="F144" s="125">
        <f t="shared" ref="F144:K144" si="15">F74</f>
        <v>0</v>
      </c>
      <c r="G144" s="125">
        <f t="shared" si="15"/>
        <v>0</v>
      </c>
      <c r="H144" s="125">
        <f t="shared" si="15"/>
        <v>75000</v>
      </c>
      <c r="I144" s="125">
        <f t="shared" si="15"/>
        <v>0</v>
      </c>
      <c r="J144" s="125">
        <f t="shared" si="15"/>
        <v>0</v>
      </c>
      <c r="K144" s="125">
        <f t="shared" si="15"/>
        <v>75000</v>
      </c>
    </row>
    <row r="145" spans="1:11" ht="18" customHeight="1" x14ac:dyDescent="0.4">
      <c r="A145" s="133" t="s">
        <v>148</v>
      </c>
      <c r="B145" s="117" t="s">
        <v>68</v>
      </c>
      <c r="F145" s="125">
        <f t="shared" ref="F145:K145" si="16">F82</f>
        <v>958</v>
      </c>
      <c r="G145" s="125">
        <f t="shared" si="16"/>
        <v>787</v>
      </c>
      <c r="H145" s="125">
        <f t="shared" si="16"/>
        <v>1745321.2599999998</v>
      </c>
      <c r="I145" s="125">
        <f t="shared" si="16"/>
        <v>3274.8092000000001</v>
      </c>
      <c r="J145" s="125">
        <f t="shared" si="16"/>
        <v>103399</v>
      </c>
      <c r="K145" s="125">
        <f t="shared" si="16"/>
        <v>1645197.0691999998</v>
      </c>
    </row>
    <row r="146" spans="1:11" ht="18" customHeight="1" x14ac:dyDescent="0.4">
      <c r="A146" s="133" t="s">
        <v>150</v>
      </c>
      <c r="B146" s="117" t="s">
        <v>69</v>
      </c>
      <c r="F146" s="125">
        <f t="shared" ref="F146:K146" si="17">F98</f>
        <v>66241</v>
      </c>
      <c r="G146" s="125">
        <f t="shared" si="17"/>
        <v>5392</v>
      </c>
      <c r="H146" s="125">
        <f t="shared" si="17"/>
        <v>2830661.88</v>
      </c>
      <c r="I146" s="125">
        <f t="shared" si="17"/>
        <v>1343149.0620599999</v>
      </c>
      <c r="J146" s="125">
        <f t="shared" si="17"/>
        <v>0</v>
      </c>
      <c r="K146" s="125">
        <f t="shared" si="17"/>
        <v>4173810.9420600003</v>
      </c>
    </row>
    <row r="147" spans="1:11" ht="18" customHeight="1" x14ac:dyDescent="0.4">
      <c r="A147" s="133" t="s">
        <v>153</v>
      </c>
      <c r="B147" s="117" t="s">
        <v>61</v>
      </c>
      <c r="F147" s="329">
        <f t="shared" ref="F147:K147" si="18">F108</f>
        <v>6333.5</v>
      </c>
      <c r="G147" s="329">
        <f t="shared" si="18"/>
        <v>0</v>
      </c>
      <c r="H147" s="329">
        <f t="shared" si="18"/>
        <v>612666.24</v>
      </c>
      <c r="I147" s="329">
        <f t="shared" si="18"/>
        <v>290710.13087999995</v>
      </c>
      <c r="J147" s="329">
        <f t="shared" si="18"/>
        <v>0</v>
      </c>
      <c r="K147" s="329">
        <f t="shared" si="18"/>
        <v>903376.37087999994</v>
      </c>
    </row>
    <row r="148" spans="1:11" ht="18" customHeight="1" x14ac:dyDescent="0.4">
      <c r="A148" s="133" t="s">
        <v>155</v>
      </c>
      <c r="B148" s="117" t="s">
        <v>70</v>
      </c>
      <c r="F148" s="126" t="s">
        <v>73</v>
      </c>
      <c r="G148" s="126" t="s">
        <v>73</v>
      </c>
      <c r="H148" s="127" t="s">
        <v>73</v>
      </c>
      <c r="I148" s="127" t="s">
        <v>73</v>
      </c>
      <c r="J148" s="127" t="s">
        <v>73</v>
      </c>
      <c r="K148" s="216">
        <f>F111</f>
        <v>35067000</v>
      </c>
    </row>
    <row r="149" spans="1:11" ht="18" customHeight="1" x14ac:dyDescent="0.4">
      <c r="A149" s="133" t="s">
        <v>163</v>
      </c>
      <c r="B149" s="117" t="s">
        <v>71</v>
      </c>
      <c r="F149" s="329">
        <f t="shared" ref="F149:K149" si="19">F137</f>
        <v>0</v>
      </c>
      <c r="G149" s="329">
        <f t="shared" si="19"/>
        <v>0</v>
      </c>
      <c r="H149" s="329">
        <f t="shared" si="19"/>
        <v>0</v>
      </c>
      <c r="I149" s="329">
        <f t="shared" si="19"/>
        <v>0</v>
      </c>
      <c r="J149" s="329">
        <f t="shared" si="19"/>
        <v>0</v>
      </c>
      <c r="K149" s="329">
        <f t="shared" si="19"/>
        <v>0</v>
      </c>
    </row>
    <row r="150" spans="1:11" ht="18" customHeight="1" x14ac:dyDescent="0.4">
      <c r="A150" s="133" t="s">
        <v>185</v>
      </c>
      <c r="B150" s="117" t="s">
        <v>186</v>
      </c>
      <c r="F150" s="126" t="s">
        <v>73</v>
      </c>
      <c r="G150" s="126" t="s">
        <v>73</v>
      </c>
      <c r="H150" s="329">
        <f>H18</f>
        <v>47111350.729999997</v>
      </c>
      <c r="I150" s="329">
        <f>I18</f>
        <v>0</v>
      </c>
      <c r="J150" s="329">
        <f>J18</f>
        <v>39044481.390000001</v>
      </c>
      <c r="K150" s="329">
        <f>K18</f>
        <v>8066869.3399999961</v>
      </c>
    </row>
    <row r="151" spans="1:11" ht="18" customHeight="1" x14ac:dyDescent="0.4">
      <c r="B151" s="117"/>
      <c r="F151" s="128"/>
      <c r="G151" s="128"/>
      <c r="H151" s="128"/>
      <c r="I151" s="128"/>
      <c r="J151" s="128"/>
      <c r="K151" s="128"/>
    </row>
    <row r="152" spans="1:11" ht="18" customHeight="1" x14ac:dyDescent="0.4">
      <c r="A152" s="118" t="s">
        <v>165</v>
      </c>
      <c r="B152" s="117" t="s">
        <v>26</v>
      </c>
      <c r="F152" s="129">
        <f t="shared" ref="F152:K152" si="20">SUM(F141:F150)</f>
        <v>2465849.5</v>
      </c>
      <c r="G152" s="129">
        <f t="shared" si="20"/>
        <v>1617695.95</v>
      </c>
      <c r="H152" s="129">
        <f t="shared" si="20"/>
        <v>238824070.03770778</v>
      </c>
      <c r="I152" s="129">
        <f t="shared" si="20"/>
        <v>78548568.166569993</v>
      </c>
      <c r="J152" s="129">
        <f t="shared" si="20"/>
        <v>41268894.390000001</v>
      </c>
      <c r="K152" s="129">
        <f t="shared" si="20"/>
        <v>311170743.81427777</v>
      </c>
    </row>
    <row r="154" spans="1:11" ht="18" customHeight="1" x14ac:dyDescent="0.4">
      <c r="A154" s="118" t="s">
        <v>168</v>
      </c>
      <c r="B154" s="117" t="s">
        <v>28</v>
      </c>
      <c r="F154" s="334">
        <f>K152/F121</f>
        <v>0.11702789783702851</v>
      </c>
    </row>
    <row r="155" spans="1:11" ht="18" customHeight="1" x14ac:dyDescent="0.4">
      <c r="A155" s="118" t="s">
        <v>169</v>
      </c>
      <c r="B155" s="117" t="s">
        <v>72</v>
      </c>
      <c r="F155" s="334">
        <f>K152/F127</f>
        <v>-2.8558778962010845</v>
      </c>
      <c r="G155" s="117"/>
    </row>
    <row r="156" spans="1:11" ht="18" customHeight="1" x14ac:dyDescent="0.4">
      <c r="G156" s="117"/>
    </row>
  </sheetData>
  <mergeCells count="38">
    <mergeCell ref="C11:G11"/>
    <mergeCell ref="B13:H13"/>
    <mergeCell ref="B30:D30"/>
    <mergeCell ref="B134:D134"/>
    <mergeCell ref="B135:D135"/>
    <mergeCell ref="B96:D96"/>
    <mergeCell ref="B103:C103"/>
    <mergeCell ref="B104:D104"/>
    <mergeCell ref="B105:D105"/>
    <mergeCell ref="B106:D106"/>
    <mergeCell ref="B133:D133"/>
    <mergeCell ref="B31:D31"/>
    <mergeCell ref="B34:D34"/>
    <mergeCell ref="B41:C41"/>
    <mergeCell ref="B44:D44"/>
    <mergeCell ref="B45:D45"/>
    <mergeCell ref="C10:G10"/>
    <mergeCell ref="D2:H2"/>
    <mergeCell ref="C5:G5"/>
    <mergeCell ref="C6:G6"/>
    <mergeCell ref="C7:G7"/>
    <mergeCell ref="C9:G9"/>
    <mergeCell ref="B46:D46"/>
    <mergeCell ref="B47:D47"/>
    <mergeCell ref="B52:C52"/>
    <mergeCell ref="B95:D95"/>
    <mergeCell ref="B54:D54"/>
    <mergeCell ref="B55:D55"/>
    <mergeCell ref="B56:D56"/>
    <mergeCell ref="B57:D57"/>
    <mergeCell ref="B58:D58"/>
    <mergeCell ref="B59:D59"/>
    <mergeCell ref="B60:D60"/>
    <mergeCell ref="B61:D61"/>
    <mergeCell ref="B62:D62"/>
    <mergeCell ref="B90:C90"/>
    <mergeCell ref="B94:D94"/>
    <mergeCell ref="B53:D53"/>
  </mergeCells>
  <hyperlinks>
    <hyperlink ref="C11" r:id="rId1" xr:uid="{4100D9DD-D0B7-4CC9-B2EA-A97FF85FFE49}"/>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3" manualBreakCount="3">
    <brk id="37" max="16383" man="1"/>
    <brk id="74" max="16383" man="1"/>
    <brk id="10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K156"/>
  <sheetViews>
    <sheetView topLeftCell="A133" zoomScale="85" zoomScaleNormal="85"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27734375" customWidth="1"/>
    <col min="9" max="9" width="21.27734375" customWidth="1"/>
    <col min="10" max="10" width="19.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681</v>
      </c>
      <c r="D5" s="666"/>
      <c r="E5" s="666"/>
      <c r="F5" s="666"/>
      <c r="G5" s="667"/>
    </row>
    <row r="6" spans="1:11" ht="18" customHeight="1" x14ac:dyDescent="0.4">
      <c r="B6" s="1" t="s">
        <v>3</v>
      </c>
      <c r="C6" s="683">
        <v>210010</v>
      </c>
      <c r="D6" s="684"/>
      <c r="E6" s="684"/>
      <c r="F6" s="684"/>
      <c r="G6" s="685"/>
    </row>
    <row r="7" spans="1:11" ht="18" customHeight="1" x14ac:dyDescent="0.4">
      <c r="B7" s="1" t="s">
        <v>4</v>
      </c>
      <c r="C7" s="686">
        <v>269</v>
      </c>
      <c r="D7" s="687"/>
      <c r="E7" s="687"/>
      <c r="F7" s="687"/>
      <c r="G7" s="688"/>
    </row>
    <row r="9" spans="1:11" ht="18" customHeight="1" x14ac:dyDescent="0.4">
      <c r="B9" s="1" t="s">
        <v>1</v>
      </c>
      <c r="C9" s="663" t="s">
        <v>442</v>
      </c>
      <c r="D9" s="666"/>
      <c r="E9" s="666"/>
      <c r="F9" s="666"/>
      <c r="G9" s="667"/>
    </row>
    <row r="10" spans="1:11" ht="18" customHeight="1" x14ac:dyDescent="0.4">
      <c r="B10" s="1" t="s">
        <v>2</v>
      </c>
      <c r="C10" s="733" t="s">
        <v>682</v>
      </c>
      <c r="D10" s="661"/>
      <c r="E10" s="661"/>
      <c r="F10" s="661"/>
      <c r="G10" s="662"/>
    </row>
    <row r="11" spans="1:11" ht="18" customHeight="1" x14ac:dyDescent="0.4">
      <c r="B11" s="1" t="s">
        <v>32</v>
      </c>
      <c r="C11" s="663" t="s">
        <v>476</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840988.37</v>
      </c>
      <c r="I18" s="115">
        <v>0</v>
      </c>
      <c r="J18" s="307">
        <v>696986.06</v>
      </c>
      <c r="K18" s="308">
        <f>(H18+I18)-J18</f>
        <v>144002.30999999994</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1067</v>
      </c>
      <c r="G21" s="306">
        <v>1585</v>
      </c>
      <c r="H21" s="307">
        <v>62104.513357953343</v>
      </c>
      <c r="I21" s="115">
        <v>10041.876738853916</v>
      </c>
      <c r="J21" s="307">
        <v>0</v>
      </c>
      <c r="K21" s="308">
        <f t="shared" ref="K21:K34" si="0">(H21+I21)-J21</f>
        <v>72146.390096807256</v>
      </c>
    </row>
    <row r="22" spans="1:11" ht="18" customHeight="1" x14ac:dyDescent="0.4">
      <c r="A22" s="1" t="s">
        <v>76</v>
      </c>
      <c r="B22" t="s">
        <v>6</v>
      </c>
      <c r="F22" s="306">
        <v>191</v>
      </c>
      <c r="G22" s="306">
        <v>183</v>
      </c>
      <c r="H22" s="307">
        <v>7606.6176676373834</v>
      </c>
      <c r="I22" s="115">
        <v>0</v>
      </c>
      <c r="J22" s="307">
        <v>0</v>
      </c>
      <c r="K22" s="308">
        <f t="shared" si="0"/>
        <v>7606.6176676373834</v>
      </c>
    </row>
    <row r="23" spans="1:11" ht="18" customHeight="1" x14ac:dyDescent="0.4">
      <c r="A23" s="1" t="s">
        <v>77</v>
      </c>
      <c r="B23" t="s">
        <v>43</v>
      </c>
      <c r="F23" s="306"/>
      <c r="G23" s="306"/>
      <c r="H23" s="307"/>
      <c r="I23" s="115"/>
      <c r="J23" s="307"/>
      <c r="K23" s="308">
        <f t="shared" si="0"/>
        <v>0</v>
      </c>
    </row>
    <row r="24" spans="1:11" ht="18" customHeight="1" x14ac:dyDescent="0.4">
      <c r="A24" s="1" t="s">
        <v>78</v>
      </c>
      <c r="B24" t="s">
        <v>44</v>
      </c>
      <c r="F24" s="306"/>
      <c r="G24" s="306"/>
      <c r="H24" s="307"/>
      <c r="I24" s="115"/>
      <c r="J24" s="307"/>
      <c r="K24" s="308">
        <f t="shared" si="0"/>
        <v>0</v>
      </c>
    </row>
    <row r="25" spans="1:11" ht="18" customHeight="1" x14ac:dyDescent="0.4">
      <c r="A25" s="1" t="s">
        <v>79</v>
      </c>
      <c r="B25" t="s">
        <v>5</v>
      </c>
      <c r="F25" s="306"/>
      <c r="G25" s="306"/>
      <c r="H25" s="307"/>
      <c r="I25" s="115"/>
      <c r="J25" s="307"/>
      <c r="K25" s="308">
        <f t="shared" si="0"/>
        <v>0</v>
      </c>
    </row>
    <row r="26" spans="1:11" ht="18" customHeight="1" x14ac:dyDescent="0.4">
      <c r="A26" s="1" t="s">
        <v>80</v>
      </c>
      <c r="B26" t="s">
        <v>45</v>
      </c>
      <c r="F26" s="306"/>
      <c r="G26" s="306"/>
      <c r="H26" s="307"/>
      <c r="I26" s="115"/>
      <c r="J26" s="307"/>
      <c r="K26" s="308">
        <f t="shared" si="0"/>
        <v>0</v>
      </c>
    </row>
    <row r="27" spans="1:11" ht="18" customHeight="1" x14ac:dyDescent="0.4">
      <c r="A27" s="1" t="s">
        <v>81</v>
      </c>
      <c r="B27" t="s">
        <v>455</v>
      </c>
      <c r="F27" s="306"/>
      <c r="G27" s="306"/>
      <c r="H27" s="307"/>
      <c r="I27" s="115"/>
      <c r="J27" s="307"/>
      <c r="K27" s="308">
        <f t="shared" si="0"/>
        <v>0</v>
      </c>
    </row>
    <row r="28" spans="1:11" ht="18" customHeight="1" x14ac:dyDescent="0.4">
      <c r="A28" s="1" t="s">
        <v>82</v>
      </c>
      <c r="B28" t="s">
        <v>47</v>
      </c>
      <c r="F28" s="306"/>
      <c r="G28" s="306"/>
      <c r="H28" s="307"/>
      <c r="I28" s="115"/>
      <c r="J28" s="307"/>
      <c r="K28" s="308">
        <f t="shared" si="0"/>
        <v>0</v>
      </c>
    </row>
    <row r="29" spans="1:11" ht="18" customHeight="1" x14ac:dyDescent="0.4">
      <c r="A29" s="1" t="s">
        <v>83</v>
      </c>
      <c r="B29" t="s">
        <v>48</v>
      </c>
      <c r="F29" s="306"/>
      <c r="G29" s="306"/>
      <c r="H29" s="307"/>
      <c r="I29" s="115"/>
      <c r="J29" s="307"/>
      <c r="K29" s="308">
        <f t="shared" si="0"/>
        <v>0</v>
      </c>
    </row>
    <row r="30" spans="1:11" ht="18" customHeight="1" x14ac:dyDescent="0.4">
      <c r="A30" s="1" t="s">
        <v>84</v>
      </c>
      <c r="B30" s="630"/>
      <c r="C30" s="631"/>
      <c r="D30" s="632"/>
      <c r="F30" s="306"/>
      <c r="G30" s="306"/>
      <c r="H30" s="307"/>
      <c r="I30" s="115"/>
      <c r="J30" s="307"/>
      <c r="K30" s="308">
        <f t="shared" si="0"/>
        <v>0</v>
      </c>
    </row>
    <row r="31" spans="1:11" ht="18" customHeight="1" x14ac:dyDescent="0.4">
      <c r="A31" s="1" t="s">
        <v>133</v>
      </c>
      <c r="B31" s="630"/>
      <c r="C31" s="631"/>
      <c r="D31" s="632"/>
      <c r="F31" s="306"/>
      <c r="G31" s="306"/>
      <c r="H31" s="307"/>
      <c r="I31" s="115"/>
      <c r="J31" s="307"/>
      <c r="K31" s="308">
        <f t="shared" si="0"/>
        <v>0</v>
      </c>
    </row>
    <row r="32" spans="1:11" ht="18" customHeight="1" x14ac:dyDescent="0.4">
      <c r="A32" s="1" t="s">
        <v>134</v>
      </c>
      <c r="B32" s="394"/>
      <c r="C32" s="395"/>
      <c r="D32" s="396"/>
      <c r="F32" s="306"/>
      <c r="G32" s="309" t="s">
        <v>85</v>
      </c>
      <c r="H32" s="307"/>
      <c r="I32" s="115"/>
      <c r="J32" s="307"/>
      <c r="K32" s="308">
        <f t="shared" si="0"/>
        <v>0</v>
      </c>
    </row>
    <row r="33" spans="1:11" ht="18" customHeight="1" x14ac:dyDescent="0.4">
      <c r="A33" s="1" t="s">
        <v>135</v>
      </c>
      <c r="B33" s="394"/>
      <c r="C33" s="395"/>
      <c r="D33" s="396"/>
      <c r="F33" s="306"/>
      <c r="G33" s="309" t="s">
        <v>85</v>
      </c>
      <c r="H33" s="307"/>
      <c r="I33" s="115"/>
      <c r="J33" s="307"/>
      <c r="K33" s="308">
        <f t="shared" si="0"/>
        <v>0</v>
      </c>
    </row>
    <row r="34" spans="1:11" ht="18" customHeight="1" x14ac:dyDescent="0.4">
      <c r="A34" s="1" t="s">
        <v>136</v>
      </c>
      <c r="B34" s="630"/>
      <c r="C34" s="631"/>
      <c r="D34" s="632"/>
      <c r="F34" s="306"/>
      <c r="G34" s="309" t="s">
        <v>85</v>
      </c>
      <c r="H34" s="307"/>
      <c r="I34" s="115"/>
      <c r="J34" s="307"/>
      <c r="K34" s="308">
        <f t="shared" si="0"/>
        <v>0</v>
      </c>
    </row>
    <row r="35" spans="1:11" ht="18" customHeight="1" x14ac:dyDescent="0.4">
      <c r="K35" s="397"/>
    </row>
    <row r="36" spans="1:11" ht="18" customHeight="1" x14ac:dyDescent="0.4">
      <c r="A36" s="98" t="s">
        <v>137</v>
      </c>
      <c r="B36" s="95" t="s">
        <v>138</v>
      </c>
      <c r="E36" s="95" t="s">
        <v>7</v>
      </c>
      <c r="F36" s="310">
        <f t="shared" ref="F36:K36" si="1">SUM(F21:F34)</f>
        <v>1258</v>
      </c>
      <c r="G36" s="310">
        <f t="shared" si="1"/>
        <v>1768</v>
      </c>
      <c r="H36" s="310">
        <f t="shared" si="1"/>
        <v>69711.13102559073</v>
      </c>
      <c r="I36" s="308">
        <f t="shared" si="1"/>
        <v>10041.876738853916</v>
      </c>
      <c r="J36" s="308">
        <f t="shared" si="1"/>
        <v>0</v>
      </c>
      <c r="K36" s="308">
        <f t="shared" si="1"/>
        <v>79753.007764444643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2">(H40+I40)-J40</f>
        <v>0</v>
      </c>
    </row>
    <row r="41" spans="1:11" ht="18" customHeight="1" x14ac:dyDescent="0.4">
      <c r="A41" s="1" t="s">
        <v>88</v>
      </c>
      <c r="B41" s="635" t="s">
        <v>50</v>
      </c>
      <c r="C41" s="636"/>
      <c r="F41" s="306"/>
      <c r="G41" s="306"/>
      <c r="H41" s="307"/>
      <c r="I41" s="115">
        <v>0</v>
      </c>
      <c r="J41" s="307"/>
      <c r="K41" s="308">
        <f t="shared" si="2"/>
        <v>0</v>
      </c>
    </row>
    <row r="42" spans="1:11" ht="18" customHeight="1" x14ac:dyDescent="0.4">
      <c r="A42" s="1" t="s">
        <v>89</v>
      </c>
      <c r="B42" s="94" t="s">
        <v>11</v>
      </c>
      <c r="F42" s="306"/>
      <c r="G42" s="306"/>
      <c r="H42" s="307"/>
      <c r="I42" s="115">
        <v>0</v>
      </c>
      <c r="J42" s="307"/>
      <c r="K42" s="308">
        <f t="shared" si="2"/>
        <v>0</v>
      </c>
    </row>
    <row r="43" spans="1:11" ht="18" customHeight="1" x14ac:dyDescent="0.4">
      <c r="A43" s="1" t="s">
        <v>90</v>
      </c>
      <c r="B43" s="94" t="s">
        <v>10</v>
      </c>
      <c r="F43" s="306"/>
      <c r="G43" s="306"/>
      <c r="H43" s="307"/>
      <c r="I43" s="115">
        <v>0</v>
      </c>
      <c r="J43" s="307"/>
      <c r="K43" s="308">
        <f t="shared" si="2"/>
        <v>0</v>
      </c>
    </row>
    <row r="44" spans="1:11" ht="18" customHeight="1" x14ac:dyDescent="0.4">
      <c r="A44" s="1" t="s">
        <v>91</v>
      </c>
      <c r="B44" s="630"/>
      <c r="C44" s="631"/>
      <c r="D44" s="632"/>
      <c r="F44" s="311"/>
      <c r="G44" s="311"/>
      <c r="H44" s="311"/>
      <c r="I44" s="116">
        <v>0</v>
      </c>
      <c r="J44" s="311"/>
      <c r="K44" s="353">
        <f t="shared" si="2"/>
        <v>0</v>
      </c>
    </row>
    <row r="45" spans="1:11" ht="18" customHeight="1" x14ac:dyDescent="0.4">
      <c r="A45" s="1" t="s">
        <v>139</v>
      </c>
      <c r="B45" s="630"/>
      <c r="C45" s="631"/>
      <c r="D45" s="632"/>
      <c r="F45" s="306"/>
      <c r="G45" s="306"/>
      <c r="H45" s="307"/>
      <c r="I45" s="115">
        <v>0</v>
      </c>
      <c r="J45" s="307"/>
      <c r="K45" s="308">
        <f t="shared" si="2"/>
        <v>0</v>
      </c>
    </row>
    <row r="46" spans="1:11" ht="18" customHeight="1" x14ac:dyDescent="0.4">
      <c r="A46" s="1" t="s">
        <v>140</v>
      </c>
      <c r="B46" s="630"/>
      <c r="C46" s="631"/>
      <c r="D46" s="632"/>
      <c r="F46" s="306"/>
      <c r="G46" s="306"/>
      <c r="H46" s="307"/>
      <c r="I46" s="115">
        <v>0</v>
      </c>
      <c r="J46" s="307"/>
      <c r="K46" s="308">
        <f t="shared" si="2"/>
        <v>0</v>
      </c>
    </row>
    <row r="47" spans="1:11" ht="18" customHeight="1" x14ac:dyDescent="0.4">
      <c r="A47" s="1" t="s">
        <v>141</v>
      </c>
      <c r="B47" s="630"/>
      <c r="C47" s="631"/>
      <c r="D47" s="632"/>
      <c r="F47" s="306"/>
      <c r="G47" s="306"/>
      <c r="H47" s="307"/>
      <c r="I47" s="115">
        <v>0</v>
      </c>
      <c r="J47" s="307"/>
      <c r="K47" s="308">
        <f t="shared" si="2"/>
        <v>0</v>
      </c>
    </row>
    <row r="49" spans="1:11" ht="18" customHeight="1" x14ac:dyDescent="0.4">
      <c r="A49" s="98" t="s">
        <v>142</v>
      </c>
      <c r="B49" s="95" t="s">
        <v>143</v>
      </c>
      <c r="E49" s="95" t="s">
        <v>7</v>
      </c>
      <c r="F49" s="312">
        <f t="shared" ref="F49:K49" si="3">SUM(F40:F47)</f>
        <v>0</v>
      </c>
      <c r="G49" s="312">
        <f t="shared" si="3"/>
        <v>0</v>
      </c>
      <c r="H49" s="308">
        <f t="shared" si="3"/>
        <v>0</v>
      </c>
      <c r="I49" s="308">
        <f t="shared" si="3"/>
        <v>0</v>
      </c>
      <c r="J49" s="308">
        <f t="shared" si="3"/>
        <v>0</v>
      </c>
      <c r="K49" s="308">
        <f t="shared" si="3"/>
        <v>0</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5" t="s">
        <v>683</v>
      </c>
      <c r="C53" s="653"/>
      <c r="D53" s="654"/>
      <c r="F53" s="306"/>
      <c r="G53" s="306"/>
      <c r="H53" s="307">
        <v>939043</v>
      </c>
      <c r="I53" s="115">
        <v>478911.93</v>
      </c>
      <c r="J53" s="307">
        <v>0</v>
      </c>
      <c r="K53" s="308">
        <f t="shared" ref="K53:K62" si="4">(H53+I53)-J53</f>
        <v>1417954.93</v>
      </c>
    </row>
    <row r="54" spans="1:11" ht="18" customHeight="1" x14ac:dyDescent="0.45">
      <c r="A54" s="1" t="s">
        <v>93</v>
      </c>
      <c r="B54" s="419" t="s">
        <v>684</v>
      </c>
      <c r="C54" s="401"/>
      <c r="D54" s="402"/>
      <c r="F54" s="306"/>
      <c r="G54" s="306"/>
      <c r="H54" s="307">
        <v>1599188</v>
      </c>
      <c r="I54" s="115">
        <v>815585.88</v>
      </c>
      <c r="J54" s="307">
        <v>0</v>
      </c>
      <c r="K54" s="308">
        <f t="shared" si="4"/>
        <v>2414773.88</v>
      </c>
    </row>
    <row r="55" spans="1:11" ht="18" customHeight="1" x14ac:dyDescent="0.4">
      <c r="A55" s="1" t="s">
        <v>94</v>
      </c>
      <c r="B55" s="655" t="s">
        <v>685</v>
      </c>
      <c r="C55" s="653"/>
      <c r="D55" s="654"/>
      <c r="F55" s="306"/>
      <c r="G55" s="306"/>
      <c r="H55" s="307">
        <v>113050</v>
      </c>
      <c r="I55" s="115">
        <v>57655.5</v>
      </c>
      <c r="J55" s="307">
        <v>0</v>
      </c>
      <c r="K55" s="308">
        <f t="shared" si="4"/>
        <v>170705.5</v>
      </c>
    </row>
    <row r="56" spans="1:11" ht="18" customHeight="1" x14ac:dyDescent="0.4">
      <c r="A56" s="1" t="s">
        <v>95</v>
      </c>
      <c r="B56" s="655" t="s">
        <v>686</v>
      </c>
      <c r="C56" s="653"/>
      <c r="D56" s="654"/>
      <c r="F56" s="306"/>
      <c r="G56" s="306"/>
      <c r="H56" s="307">
        <v>1599188</v>
      </c>
      <c r="I56" s="115">
        <v>815585.88</v>
      </c>
      <c r="J56" s="307">
        <v>0</v>
      </c>
      <c r="K56" s="308">
        <f t="shared" si="4"/>
        <v>2414773.88</v>
      </c>
    </row>
    <row r="57" spans="1:11" ht="18" customHeight="1" x14ac:dyDescent="0.4">
      <c r="A57" s="1" t="s">
        <v>96</v>
      </c>
      <c r="B57" s="655"/>
      <c r="C57" s="653"/>
      <c r="D57" s="654"/>
      <c r="F57" s="306"/>
      <c r="G57" s="306"/>
      <c r="H57" s="307"/>
      <c r="I57" s="115">
        <v>0</v>
      </c>
      <c r="J57" s="307">
        <v>0</v>
      </c>
      <c r="K57" s="308">
        <f t="shared" si="4"/>
        <v>0</v>
      </c>
    </row>
    <row r="58" spans="1:11" ht="18" customHeight="1" x14ac:dyDescent="0.4">
      <c r="A58" s="1" t="s">
        <v>97</v>
      </c>
      <c r="B58" s="400" t="s">
        <v>687</v>
      </c>
      <c r="C58" s="401"/>
      <c r="D58" s="402"/>
      <c r="F58" s="306"/>
      <c r="G58" s="306"/>
      <c r="H58" s="307">
        <v>552735.49499999988</v>
      </c>
      <c r="I58" s="115">
        <v>148800.68473026057</v>
      </c>
      <c r="J58" s="307">
        <v>0</v>
      </c>
      <c r="K58" s="308">
        <f t="shared" si="4"/>
        <v>701536.17973026051</v>
      </c>
    </row>
    <row r="59" spans="1:11" ht="18" customHeight="1" x14ac:dyDescent="0.4">
      <c r="A59" s="1" t="s">
        <v>98</v>
      </c>
      <c r="B59" s="655" t="s">
        <v>688</v>
      </c>
      <c r="C59" s="653"/>
      <c r="D59" s="654"/>
      <c r="F59" s="306"/>
      <c r="G59" s="306"/>
      <c r="H59" s="307">
        <v>364139.26333333342</v>
      </c>
      <c r="I59" s="115">
        <v>98029.115573937772</v>
      </c>
      <c r="J59" s="307">
        <v>0</v>
      </c>
      <c r="K59" s="308">
        <f t="shared" si="4"/>
        <v>462168.3789072712</v>
      </c>
    </row>
    <row r="60" spans="1:11" ht="18" customHeight="1" x14ac:dyDescent="0.4">
      <c r="A60" s="1" t="s">
        <v>99</v>
      </c>
      <c r="B60" s="400" t="s">
        <v>689</v>
      </c>
      <c r="C60" s="401"/>
      <c r="D60" s="402"/>
      <c r="F60" s="306"/>
      <c r="G60" s="306"/>
      <c r="H60" s="307">
        <v>309862.59666666668</v>
      </c>
      <c r="I60" s="115">
        <v>83417.415695904565</v>
      </c>
      <c r="J60" s="307">
        <v>0</v>
      </c>
      <c r="K60" s="308">
        <f t="shared" si="4"/>
        <v>393280.01236257126</v>
      </c>
    </row>
    <row r="61" spans="1:11" ht="18" customHeight="1" x14ac:dyDescent="0.4">
      <c r="A61" s="1" t="s">
        <v>100</v>
      </c>
      <c r="B61" s="400" t="s">
        <v>690</v>
      </c>
      <c r="C61" s="401"/>
      <c r="D61" s="402"/>
      <c r="F61" s="306"/>
      <c r="G61" s="306"/>
      <c r="H61" s="307">
        <v>303070.23000000004</v>
      </c>
      <c r="I61" s="115">
        <v>81588.857877414921</v>
      </c>
      <c r="J61" s="307">
        <v>0</v>
      </c>
      <c r="K61" s="308">
        <f t="shared" si="4"/>
        <v>384659.08787741495</v>
      </c>
    </row>
    <row r="62" spans="1:11" ht="45.7" customHeight="1" x14ac:dyDescent="0.4">
      <c r="A62" s="1" t="s">
        <v>101</v>
      </c>
      <c r="B62" s="734" t="s">
        <v>691</v>
      </c>
      <c r="C62" s="735"/>
      <c r="D62" s="736"/>
      <c r="F62" s="306"/>
      <c r="G62" s="306"/>
      <c r="H62" s="307">
        <v>1652801.2616666672</v>
      </c>
      <c r="I62" s="115">
        <v>444946.92612248217</v>
      </c>
      <c r="J62" s="307">
        <v>0</v>
      </c>
      <c r="K62" s="308">
        <f t="shared" si="4"/>
        <v>2097748.1877891496</v>
      </c>
    </row>
    <row r="63" spans="1:11" ht="18" customHeight="1" x14ac:dyDescent="0.4">
      <c r="A63" s="1"/>
      <c r="I63" s="403"/>
    </row>
    <row r="64" spans="1:11" ht="18" customHeight="1" x14ac:dyDescent="0.4">
      <c r="A64" s="1" t="s">
        <v>144</v>
      </c>
      <c r="B64" s="95" t="s">
        <v>145</v>
      </c>
      <c r="E64" s="95" t="s">
        <v>7</v>
      </c>
      <c r="F64" s="310">
        <f t="shared" ref="F64:K64" si="5">SUM(F53:F62)</f>
        <v>0</v>
      </c>
      <c r="G64" s="310">
        <f t="shared" si="5"/>
        <v>0</v>
      </c>
      <c r="H64" s="308">
        <f t="shared" si="5"/>
        <v>7433077.8466666676</v>
      </c>
      <c r="I64" s="308">
        <f t="shared" si="5"/>
        <v>3024522.1900000004</v>
      </c>
      <c r="J64" s="308">
        <f t="shared" si="5"/>
        <v>0</v>
      </c>
      <c r="K64" s="308">
        <f t="shared" si="5"/>
        <v>10457600.036666667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6">SUM(F68:F72)</f>
        <v>0</v>
      </c>
      <c r="G74" s="411">
        <f t="shared" si="6"/>
        <v>0</v>
      </c>
      <c r="H74" s="411">
        <f t="shared" si="6"/>
        <v>0</v>
      </c>
      <c r="I74" s="412">
        <f t="shared" si="6"/>
        <v>0</v>
      </c>
      <c r="J74" s="411">
        <f t="shared" si="6"/>
        <v>0</v>
      </c>
      <c r="K74" s="308">
        <f t="shared" si="6"/>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7">SUM(F77:F80)</f>
        <v>0</v>
      </c>
      <c r="G82" s="411">
        <f t="shared" si="7"/>
        <v>0</v>
      </c>
      <c r="H82" s="308">
        <f t="shared" si="7"/>
        <v>0</v>
      </c>
      <c r="I82" s="308">
        <f t="shared" si="7"/>
        <v>0</v>
      </c>
      <c r="J82" s="308">
        <f t="shared" si="7"/>
        <v>0</v>
      </c>
      <c r="K82" s="308">
        <f t="shared" si="7"/>
        <v>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c r="J86" s="307"/>
      <c r="K86" s="308">
        <f t="shared" ref="K86:K96" si="8">(H86+I86)-J86</f>
        <v>0</v>
      </c>
    </row>
    <row r="87" spans="1:11" ht="18" customHeight="1" x14ac:dyDescent="0.4">
      <c r="A87" s="1" t="s">
        <v>114</v>
      </c>
      <c r="B87" s="94" t="s">
        <v>14</v>
      </c>
      <c r="F87" s="306"/>
      <c r="G87" s="306"/>
      <c r="H87" s="307">
        <v>2706</v>
      </c>
      <c r="I87" s="115">
        <v>1385.6161570209933</v>
      </c>
      <c r="J87" s="307">
        <v>0</v>
      </c>
      <c r="K87" s="308">
        <f t="shared" si="8"/>
        <v>4091.6161570209933</v>
      </c>
    </row>
    <row r="88" spans="1:11" ht="18" customHeight="1" x14ac:dyDescent="0.4">
      <c r="A88" s="1" t="s">
        <v>115</v>
      </c>
      <c r="B88" s="94" t="s">
        <v>116</v>
      </c>
      <c r="F88" s="306"/>
      <c r="G88" s="306"/>
      <c r="H88" s="307"/>
      <c r="I88" s="115"/>
      <c r="J88" s="307"/>
      <c r="K88" s="308">
        <f t="shared" si="8"/>
        <v>0</v>
      </c>
    </row>
    <row r="89" spans="1:11" ht="18" customHeight="1" x14ac:dyDescent="0.4">
      <c r="A89" s="1" t="s">
        <v>117</v>
      </c>
      <c r="B89" s="94" t="s">
        <v>58</v>
      </c>
      <c r="F89" s="306"/>
      <c r="G89" s="306"/>
      <c r="H89" s="307"/>
      <c r="I89" s="115"/>
      <c r="J89" s="307"/>
      <c r="K89" s="308">
        <f t="shared" si="8"/>
        <v>0</v>
      </c>
    </row>
    <row r="90" spans="1:11" ht="18" customHeight="1" x14ac:dyDescent="0.4">
      <c r="A90" s="1" t="s">
        <v>118</v>
      </c>
      <c r="B90" s="635" t="s">
        <v>59</v>
      </c>
      <c r="C90" s="636"/>
      <c r="F90" s="306"/>
      <c r="G90" s="306"/>
      <c r="H90" s="307"/>
      <c r="I90" s="115"/>
      <c r="J90" s="307"/>
      <c r="K90" s="308">
        <f t="shared" si="8"/>
        <v>0</v>
      </c>
    </row>
    <row r="91" spans="1:11" ht="18" customHeight="1" x14ac:dyDescent="0.4">
      <c r="A91" s="1" t="s">
        <v>119</v>
      </c>
      <c r="B91" s="94" t="s">
        <v>60</v>
      </c>
      <c r="F91" s="306">
        <v>229</v>
      </c>
      <c r="G91" s="306"/>
      <c r="H91" s="307">
        <v>9119.9761564867058</v>
      </c>
      <c r="I91" s="115">
        <v>0</v>
      </c>
      <c r="J91" s="307">
        <v>0</v>
      </c>
      <c r="K91" s="308">
        <f t="shared" si="8"/>
        <v>9119.9761564867058</v>
      </c>
    </row>
    <row r="92" spans="1:11" ht="18" customHeight="1" x14ac:dyDescent="0.4">
      <c r="A92" s="1" t="s">
        <v>120</v>
      </c>
      <c r="B92" s="94" t="s">
        <v>121</v>
      </c>
      <c r="F92" s="107">
        <v>24</v>
      </c>
      <c r="G92" s="107">
        <v>100</v>
      </c>
      <c r="H92" s="108">
        <v>955.80536137851936</v>
      </c>
      <c r="I92" s="115">
        <v>0</v>
      </c>
      <c r="J92" s="108">
        <v>0</v>
      </c>
      <c r="K92" s="308">
        <f t="shared" si="8"/>
        <v>955.80536137851936</v>
      </c>
    </row>
    <row r="93" spans="1:11" ht="18" customHeight="1" x14ac:dyDescent="0.4">
      <c r="A93" s="1" t="s">
        <v>122</v>
      </c>
      <c r="B93" s="94" t="s">
        <v>123</v>
      </c>
      <c r="F93" s="306"/>
      <c r="G93" s="306"/>
      <c r="H93" s="307"/>
      <c r="I93" s="115"/>
      <c r="J93" s="307"/>
      <c r="K93" s="308">
        <f t="shared" si="8"/>
        <v>0</v>
      </c>
    </row>
    <row r="94" spans="1:11" ht="18" customHeight="1" x14ac:dyDescent="0.4">
      <c r="A94" s="1" t="s">
        <v>124</v>
      </c>
      <c r="B94" s="732" t="s">
        <v>615</v>
      </c>
      <c r="C94" s="732"/>
      <c r="D94" s="732"/>
      <c r="F94" s="311">
        <v>8</v>
      </c>
      <c r="G94" s="311">
        <v>40</v>
      </c>
      <c r="H94" s="352">
        <v>318.60178712617318</v>
      </c>
      <c r="I94" s="116"/>
      <c r="J94" s="352">
        <v>0</v>
      </c>
      <c r="K94" s="353">
        <f t="shared" si="8"/>
        <v>318.60178712617318</v>
      </c>
    </row>
    <row r="95" spans="1:11" ht="18" customHeight="1" x14ac:dyDescent="0.4">
      <c r="A95" s="1" t="s">
        <v>125</v>
      </c>
      <c r="B95" s="655"/>
      <c r="C95" s="653"/>
      <c r="D95" s="654"/>
      <c r="F95" s="306"/>
      <c r="G95" s="306"/>
      <c r="H95" s="307"/>
      <c r="I95" s="115"/>
      <c r="J95" s="307"/>
      <c r="K95" s="308">
        <f t="shared" si="8"/>
        <v>0</v>
      </c>
    </row>
    <row r="96" spans="1:11" ht="18" customHeight="1" x14ac:dyDescent="0.4">
      <c r="A96" s="1" t="s">
        <v>126</v>
      </c>
      <c r="B96" s="655"/>
      <c r="C96" s="653"/>
      <c r="D96" s="654"/>
      <c r="F96" s="306"/>
      <c r="G96" s="306"/>
      <c r="H96" s="307"/>
      <c r="I96" s="115"/>
      <c r="J96" s="307"/>
      <c r="K96" s="308">
        <f t="shared" si="8"/>
        <v>0</v>
      </c>
    </row>
    <row r="97" spans="1:11" ht="18" customHeight="1" x14ac:dyDescent="0.4">
      <c r="A97" s="1"/>
      <c r="B97" s="94"/>
    </row>
    <row r="98" spans="1:11" ht="18" customHeight="1" x14ac:dyDescent="0.4">
      <c r="A98" s="98" t="s">
        <v>150</v>
      </c>
      <c r="B98" s="95" t="s">
        <v>151</v>
      </c>
      <c r="E98" s="95" t="s">
        <v>7</v>
      </c>
      <c r="F98" s="310">
        <f t="shared" ref="F98:K98" si="9">SUM(F86:F96)</f>
        <v>261</v>
      </c>
      <c r="G98" s="310">
        <f t="shared" si="9"/>
        <v>140</v>
      </c>
      <c r="H98" s="308">
        <f>SUM(H86:H96)</f>
        <v>13100.383304991399</v>
      </c>
      <c r="I98" s="308">
        <f t="shared" si="9"/>
        <v>1385.6161570209933</v>
      </c>
      <c r="J98" s="308">
        <f t="shared" si="9"/>
        <v>0</v>
      </c>
      <c r="K98" s="308">
        <f t="shared" si="9"/>
        <v>14485.999462012393</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660</v>
      </c>
      <c r="G102" s="306"/>
      <c r="H102" s="307">
        <v>26284.647437909283</v>
      </c>
      <c r="I102" s="115">
        <v>13405.170193333735</v>
      </c>
      <c r="J102" s="307">
        <v>0</v>
      </c>
      <c r="K102" s="308">
        <f>(H102+I102)-J102</f>
        <v>39689.817631243015</v>
      </c>
    </row>
    <row r="103" spans="1:11" ht="18" customHeight="1" x14ac:dyDescent="0.4">
      <c r="A103" s="1" t="s">
        <v>132</v>
      </c>
      <c r="B103" s="635" t="s">
        <v>62</v>
      </c>
      <c r="C103" s="635"/>
      <c r="F103" s="306">
        <v>1500</v>
      </c>
      <c r="G103" s="306"/>
      <c r="H103" s="307">
        <v>59737.835086157458</v>
      </c>
      <c r="I103" s="115">
        <v>30466.295893940303</v>
      </c>
      <c r="J103" s="307">
        <v>0</v>
      </c>
      <c r="K103" s="308">
        <f>(H103+I103)-J103</f>
        <v>90204.130980097761</v>
      </c>
    </row>
    <row r="104" spans="1:11" ht="18" customHeight="1" x14ac:dyDescent="0.4">
      <c r="A104" s="1" t="s">
        <v>128</v>
      </c>
      <c r="B104" s="655"/>
      <c r="C104" s="653"/>
      <c r="D104" s="654"/>
      <c r="F104" s="306"/>
      <c r="G104" s="306"/>
      <c r="H104" s="307"/>
      <c r="I104" s="115">
        <v>0</v>
      </c>
      <c r="J104" s="307"/>
      <c r="K104" s="308">
        <f>(H104+I104)-J104</f>
        <v>0</v>
      </c>
    </row>
    <row r="105" spans="1:11" ht="18" customHeight="1" x14ac:dyDescent="0.4">
      <c r="A105" s="1" t="s">
        <v>127</v>
      </c>
      <c r="B105" s="655"/>
      <c r="C105" s="653"/>
      <c r="D105" s="654"/>
      <c r="F105" s="306"/>
      <c r="G105" s="306"/>
      <c r="H105" s="307"/>
      <c r="I105" s="115">
        <v>0</v>
      </c>
      <c r="J105" s="307"/>
      <c r="K105" s="308">
        <f>(H105+I105)-J105</f>
        <v>0</v>
      </c>
    </row>
    <row r="106" spans="1:11" ht="18" customHeight="1" x14ac:dyDescent="0.4">
      <c r="A106" s="1" t="s">
        <v>129</v>
      </c>
      <c r="B106" s="655"/>
      <c r="C106" s="653"/>
      <c r="D106" s="654"/>
      <c r="F106" s="306"/>
      <c r="G106" s="306"/>
      <c r="H106" s="307"/>
      <c r="I106" s="115">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0">SUM(F102:F106)</f>
        <v>2160</v>
      </c>
      <c r="G108" s="310">
        <f t="shared" si="10"/>
        <v>0</v>
      </c>
      <c r="H108" s="308">
        <f t="shared" si="10"/>
        <v>86022.482524066741</v>
      </c>
      <c r="I108" s="308">
        <f t="shared" si="10"/>
        <v>43871.466087274035</v>
      </c>
      <c r="J108" s="308">
        <f t="shared" si="10"/>
        <v>0</v>
      </c>
      <c r="K108" s="308">
        <f t="shared" si="10"/>
        <v>129893.94861134078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501000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0.51</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32039000</v>
      </c>
    </row>
    <row r="118" spans="1:6" ht="18" customHeight="1" x14ac:dyDescent="0.4">
      <c r="A118" s="1" t="s">
        <v>173</v>
      </c>
      <c r="B118" t="s">
        <v>18</v>
      </c>
      <c r="F118" s="307">
        <v>3265000</v>
      </c>
    </row>
    <row r="119" spans="1:6" ht="18" customHeight="1" x14ac:dyDescent="0.4">
      <c r="A119" s="1" t="s">
        <v>174</v>
      </c>
      <c r="B119" s="95" t="s">
        <v>19</v>
      </c>
      <c r="F119" s="308">
        <f>SUM(F117:F118)</f>
        <v>35304000</v>
      </c>
    </row>
    <row r="120" spans="1:6" ht="18" customHeight="1" x14ac:dyDescent="0.4">
      <c r="A120" s="1"/>
      <c r="B120" s="95"/>
    </row>
    <row r="121" spans="1:6" ht="18" customHeight="1" x14ac:dyDescent="0.4">
      <c r="A121" s="1" t="s">
        <v>167</v>
      </c>
      <c r="B121" s="95" t="s">
        <v>36</v>
      </c>
      <c r="F121" s="307">
        <v>34558000</v>
      </c>
    </row>
    <row r="122" spans="1:6" ht="18" customHeight="1" x14ac:dyDescent="0.4">
      <c r="A122" s="1"/>
    </row>
    <row r="123" spans="1:6" ht="18" customHeight="1" x14ac:dyDescent="0.4">
      <c r="A123" s="1" t="s">
        <v>175</v>
      </c>
      <c r="B123" s="95" t="s">
        <v>20</v>
      </c>
      <c r="F123" s="307">
        <v>746000</v>
      </c>
    </row>
    <row r="124" spans="1:6" ht="18" customHeight="1" x14ac:dyDescent="0.4">
      <c r="A124" s="1"/>
    </row>
    <row r="125" spans="1:6" ht="18" customHeight="1" x14ac:dyDescent="0.4">
      <c r="A125" s="1" t="s">
        <v>176</v>
      </c>
      <c r="B125" s="95" t="s">
        <v>21</v>
      </c>
      <c r="F125" s="307">
        <v>0</v>
      </c>
    </row>
    <row r="126" spans="1:6" ht="18" customHeight="1" x14ac:dyDescent="0.4">
      <c r="A126" s="1"/>
    </row>
    <row r="127" spans="1:6" ht="18" customHeight="1" x14ac:dyDescent="0.4">
      <c r="A127" s="1" t="s">
        <v>177</v>
      </c>
      <c r="B127" s="95" t="s">
        <v>22</v>
      </c>
      <c r="F127" s="307">
        <v>746000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1">SUM(F131:F135)</f>
        <v>0</v>
      </c>
      <c r="G137" s="310">
        <f t="shared" si="11"/>
        <v>0</v>
      </c>
      <c r="H137" s="308">
        <f t="shared" si="11"/>
        <v>0</v>
      </c>
      <c r="I137" s="308">
        <f t="shared" si="11"/>
        <v>0</v>
      </c>
      <c r="J137" s="308">
        <f t="shared" si="11"/>
        <v>0</v>
      </c>
      <c r="K137" s="308">
        <f t="shared" si="11"/>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2">F36</f>
        <v>1258</v>
      </c>
      <c r="G141" s="109">
        <f t="shared" si="12"/>
        <v>1768</v>
      </c>
      <c r="H141" s="217">
        <f t="shared" si="12"/>
        <v>69711.13102559073</v>
      </c>
      <c r="I141" s="217">
        <f t="shared" si="12"/>
        <v>10041.876738853916</v>
      </c>
      <c r="J141" s="109">
        <v>0</v>
      </c>
      <c r="K141" s="217">
        <f t="shared" si="12"/>
        <v>79753.007764444643</v>
      </c>
    </row>
    <row r="142" spans="1:11" ht="18" customHeight="1" x14ac:dyDescent="0.4">
      <c r="A142" s="1" t="s">
        <v>142</v>
      </c>
      <c r="B142" s="95" t="s">
        <v>65</v>
      </c>
      <c r="F142" s="109">
        <f t="shared" ref="F142:K142" si="13">F49</f>
        <v>0</v>
      </c>
      <c r="G142" s="109">
        <f t="shared" si="13"/>
        <v>0</v>
      </c>
      <c r="H142" s="217">
        <f t="shared" si="13"/>
        <v>0</v>
      </c>
      <c r="I142" s="217">
        <f t="shared" si="13"/>
        <v>0</v>
      </c>
      <c r="J142" s="109">
        <f t="shared" si="13"/>
        <v>0</v>
      </c>
      <c r="K142" s="217">
        <f t="shared" si="13"/>
        <v>0</v>
      </c>
    </row>
    <row r="143" spans="1:11" ht="18" customHeight="1" x14ac:dyDescent="0.4">
      <c r="A143" s="1" t="s">
        <v>144</v>
      </c>
      <c r="B143" s="95" t="s">
        <v>66</v>
      </c>
      <c r="F143" s="109">
        <f t="shared" ref="F143:K143" si="14">F64</f>
        <v>0</v>
      </c>
      <c r="G143" s="109">
        <f t="shared" si="14"/>
        <v>0</v>
      </c>
      <c r="H143" s="217">
        <f t="shared" si="14"/>
        <v>7433077.8466666676</v>
      </c>
      <c r="I143" s="217">
        <f t="shared" si="14"/>
        <v>3024522.1900000004</v>
      </c>
      <c r="J143" s="109">
        <v>0</v>
      </c>
      <c r="K143" s="217">
        <f t="shared" si="14"/>
        <v>10457600.036666667</v>
      </c>
    </row>
    <row r="144" spans="1:11" ht="18" customHeight="1" x14ac:dyDescent="0.4">
      <c r="A144" s="1" t="s">
        <v>146</v>
      </c>
      <c r="B144" s="95" t="s">
        <v>67</v>
      </c>
      <c r="F144" s="109">
        <f t="shared" ref="F144:K144" si="15">F74</f>
        <v>0</v>
      </c>
      <c r="G144" s="109">
        <f t="shared" si="15"/>
        <v>0</v>
      </c>
      <c r="H144" s="217">
        <f t="shared" si="15"/>
        <v>0</v>
      </c>
      <c r="I144" s="217">
        <f t="shared" si="15"/>
        <v>0</v>
      </c>
      <c r="J144" s="109">
        <f t="shared" si="15"/>
        <v>0</v>
      </c>
      <c r="K144" s="217">
        <f t="shared" si="15"/>
        <v>0</v>
      </c>
    </row>
    <row r="145" spans="1:11" ht="18" customHeight="1" x14ac:dyDescent="0.4">
      <c r="A145" s="1" t="s">
        <v>148</v>
      </c>
      <c r="B145" s="95" t="s">
        <v>68</v>
      </c>
      <c r="F145" s="109">
        <f t="shared" ref="F145:K145" si="16">F82</f>
        <v>0</v>
      </c>
      <c r="G145" s="109">
        <f t="shared" si="16"/>
        <v>0</v>
      </c>
      <c r="H145" s="217">
        <f t="shared" si="16"/>
        <v>0</v>
      </c>
      <c r="I145" s="217">
        <f t="shared" si="16"/>
        <v>0</v>
      </c>
      <c r="J145" s="109">
        <f t="shared" si="16"/>
        <v>0</v>
      </c>
      <c r="K145" s="217">
        <f t="shared" si="16"/>
        <v>0</v>
      </c>
    </row>
    <row r="146" spans="1:11" ht="18" customHeight="1" x14ac:dyDescent="0.4">
      <c r="A146" s="1" t="s">
        <v>150</v>
      </c>
      <c r="B146" s="95" t="s">
        <v>69</v>
      </c>
      <c r="F146" s="109">
        <f t="shared" ref="F146:K146" si="17">F98</f>
        <v>261</v>
      </c>
      <c r="G146" s="109">
        <f t="shared" si="17"/>
        <v>140</v>
      </c>
      <c r="H146" s="217">
        <f t="shared" si="17"/>
        <v>13100.383304991399</v>
      </c>
      <c r="I146" s="217">
        <f t="shared" si="17"/>
        <v>1385.6161570209933</v>
      </c>
      <c r="J146" s="109">
        <v>0</v>
      </c>
      <c r="K146" s="217">
        <f t="shared" si="17"/>
        <v>14485.999462012393</v>
      </c>
    </row>
    <row r="147" spans="1:11" ht="18" customHeight="1" x14ac:dyDescent="0.4">
      <c r="A147" s="1" t="s">
        <v>153</v>
      </c>
      <c r="B147" s="95" t="s">
        <v>61</v>
      </c>
      <c r="F147" s="310">
        <f t="shared" ref="F147:K147" si="18">F108</f>
        <v>2160</v>
      </c>
      <c r="G147" s="310">
        <f t="shared" si="18"/>
        <v>0</v>
      </c>
      <c r="H147" s="351">
        <f t="shared" si="18"/>
        <v>86022.482524066741</v>
      </c>
      <c r="I147" s="351">
        <f t="shared" si="18"/>
        <v>43871.466087274035</v>
      </c>
      <c r="J147" s="310">
        <v>0</v>
      </c>
      <c r="K147" s="351">
        <f t="shared" si="18"/>
        <v>129893.94861134078</v>
      </c>
    </row>
    <row r="148" spans="1:11" ht="18" customHeight="1" x14ac:dyDescent="0.4">
      <c r="A148" s="1" t="s">
        <v>155</v>
      </c>
      <c r="B148" s="95" t="s">
        <v>70</v>
      </c>
      <c r="F148" s="110" t="s">
        <v>73</v>
      </c>
      <c r="G148" s="110" t="s">
        <v>73</v>
      </c>
      <c r="H148" s="111" t="s">
        <v>73</v>
      </c>
      <c r="I148" s="111" t="s">
        <v>73</v>
      </c>
      <c r="J148" s="111" t="s">
        <v>73</v>
      </c>
      <c r="K148" s="106">
        <f>F111</f>
        <v>501000</v>
      </c>
    </row>
    <row r="149" spans="1:11" ht="18" customHeight="1" x14ac:dyDescent="0.4">
      <c r="A149" s="1" t="s">
        <v>163</v>
      </c>
      <c r="B149" s="95" t="s">
        <v>71</v>
      </c>
      <c r="F149" s="310">
        <f t="shared" ref="F149:K149" si="19">F137</f>
        <v>0</v>
      </c>
      <c r="G149" s="310">
        <f t="shared" si="19"/>
        <v>0</v>
      </c>
      <c r="H149" s="310">
        <f t="shared" si="19"/>
        <v>0</v>
      </c>
      <c r="I149" s="310">
        <f t="shared" si="19"/>
        <v>0</v>
      </c>
      <c r="J149" s="310">
        <f t="shared" si="19"/>
        <v>0</v>
      </c>
      <c r="K149" s="310">
        <f t="shared" si="19"/>
        <v>0</v>
      </c>
    </row>
    <row r="150" spans="1:11" ht="18" customHeight="1" x14ac:dyDescent="0.4">
      <c r="A150" s="1" t="s">
        <v>185</v>
      </c>
      <c r="B150" s="95" t="s">
        <v>186</v>
      </c>
      <c r="F150" s="110" t="s">
        <v>73</v>
      </c>
      <c r="G150" s="110" t="s">
        <v>73</v>
      </c>
      <c r="H150" s="351">
        <f>H18</f>
        <v>840988.37</v>
      </c>
      <c r="I150" s="351">
        <f>I18</f>
        <v>0</v>
      </c>
      <c r="J150" s="351">
        <f>J18</f>
        <v>696986.06</v>
      </c>
      <c r="K150" s="351">
        <f>K18</f>
        <v>144002.30999999994</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0">SUM(F141:F150)</f>
        <v>3679</v>
      </c>
      <c r="G152" s="114">
        <f t="shared" si="20"/>
        <v>1908</v>
      </c>
      <c r="H152" s="417">
        <f t="shared" si="20"/>
        <v>8442900.2135213166</v>
      </c>
      <c r="I152" s="417">
        <f t="shared" si="20"/>
        <v>3079821.1489831493</v>
      </c>
      <c r="J152" s="417">
        <f t="shared" si="20"/>
        <v>696986.06</v>
      </c>
      <c r="K152" s="417">
        <f t="shared" si="20"/>
        <v>11326735.302504465</v>
      </c>
    </row>
    <row r="154" spans="1:11" ht="18" customHeight="1" x14ac:dyDescent="0.4">
      <c r="A154" s="98" t="s">
        <v>168</v>
      </c>
      <c r="B154" s="95" t="s">
        <v>28</v>
      </c>
      <c r="F154" s="318">
        <f>K152/F121</f>
        <v>0.32776015112287937</v>
      </c>
    </row>
    <row r="155" spans="1:11" ht="18" customHeight="1" x14ac:dyDescent="0.4">
      <c r="A155" s="98" t="s">
        <v>169</v>
      </c>
      <c r="B155" s="95" t="s">
        <v>72</v>
      </c>
      <c r="F155" s="318">
        <f>K152/F127</f>
        <v>15.183291290220463</v>
      </c>
      <c r="G155" s="95"/>
    </row>
    <row r="156" spans="1:11" ht="18" customHeight="1" x14ac:dyDescent="0.4">
      <c r="G156" s="95"/>
    </row>
  </sheetData>
  <mergeCells count="34">
    <mergeCell ref="B62:D62"/>
    <mergeCell ref="B53:D53"/>
    <mergeCell ref="B55:D55"/>
    <mergeCell ref="B56:D56"/>
    <mergeCell ref="B57:D57"/>
    <mergeCell ref="B59:D59"/>
    <mergeCell ref="B135:D135"/>
    <mergeCell ref="B90:C90"/>
    <mergeCell ref="B94:D94"/>
    <mergeCell ref="C7:G7"/>
    <mergeCell ref="C9:G9"/>
    <mergeCell ref="C10:G10"/>
    <mergeCell ref="C11:G11"/>
    <mergeCell ref="B13:H13"/>
    <mergeCell ref="B30:D30"/>
    <mergeCell ref="B31:D31"/>
    <mergeCell ref="B34:D34"/>
    <mergeCell ref="B45:D45"/>
    <mergeCell ref="B46:D46"/>
    <mergeCell ref="B47:D47"/>
    <mergeCell ref="B52:C52"/>
    <mergeCell ref="B106:D106"/>
    <mergeCell ref="D2:H2"/>
    <mergeCell ref="C5:G5"/>
    <mergeCell ref="C6:G6"/>
    <mergeCell ref="B41:C41"/>
    <mergeCell ref="B44:D44"/>
    <mergeCell ref="B133:D133"/>
    <mergeCell ref="B134:D134"/>
    <mergeCell ref="B95:D95"/>
    <mergeCell ref="B96:D96"/>
    <mergeCell ref="B103:C103"/>
    <mergeCell ref="B104:D104"/>
    <mergeCell ref="B105:D105"/>
  </mergeCells>
  <pageMargins left="0.75" right="0.75" top="1" bottom="1" header="0.5" footer="0.5"/>
  <pageSetup scale="59" fitToHeight="0" orientation="landscape" horizontalDpi="1200" verticalDpi="1200" r:id="rId1"/>
  <headerFooter alignWithMargins="0"/>
  <rowBreaks count="5" manualBreakCount="5">
    <brk id="37" max="16383" man="1"/>
    <brk id="65" max="16383" man="1"/>
    <brk id="83" max="16383" man="1"/>
    <brk id="109" max="16383" man="1"/>
    <brk id="12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K156"/>
  <sheetViews>
    <sheetView showGridLines="0" topLeftCell="A130" zoomScale="80" zoomScaleNormal="80" zoomScaleSheetLayoutView="7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391</v>
      </c>
      <c r="D5" s="666"/>
      <c r="E5" s="666"/>
      <c r="F5" s="666"/>
      <c r="G5" s="667"/>
    </row>
    <row r="6" spans="1:11" ht="18" customHeight="1" x14ac:dyDescent="0.4">
      <c r="B6" s="1" t="s">
        <v>3</v>
      </c>
      <c r="C6" s="737" t="s">
        <v>428</v>
      </c>
      <c r="D6" s="669"/>
      <c r="E6" s="669"/>
      <c r="F6" s="669"/>
      <c r="G6" s="670"/>
    </row>
    <row r="7" spans="1:11" ht="18" customHeight="1" x14ac:dyDescent="0.4">
      <c r="B7" s="1" t="s">
        <v>4</v>
      </c>
      <c r="C7" s="689">
        <v>2450</v>
      </c>
      <c r="D7" s="690"/>
      <c r="E7" s="690"/>
      <c r="F7" s="690"/>
      <c r="G7" s="691"/>
    </row>
    <row r="9" spans="1:11" ht="18" customHeight="1" x14ac:dyDescent="0.4">
      <c r="B9" s="1" t="s">
        <v>1</v>
      </c>
      <c r="C9" s="731" t="s">
        <v>392</v>
      </c>
      <c r="D9" s="666"/>
      <c r="E9" s="666"/>
      <c r="F9" s="666"/>
      <c r="G9" s="667"/>
    </row>
    <row r="10" spans="1:11" ht="18" customHeight="1" x14ac:dyDescent="0.4">
      <c r="B10" s="1" t="s">
        <v>2</v>
      </c>
      <c r="C10" s="733" t="s">
        <v>429</v>
      </c>
      <c r="D10" s="661"/>
      <c r="E10" s="661"/>
      <c r="F10" s="661"/>
      <c r="G10" s="662"/>
    </row>
    <row r="11" spans="1:11" ht="18" customHeight="1" x14ac:dyDescent="0.4">
      <c r="B11" s="1" t="s">
        <v>32</v>
      </c>
      <c r="C11" s="731" t="s">
        <v>462</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7763670.2599999998</v>
      </c>
      <c r="I18" s="115">
        <v>0</v>
      </c>
      <c r="J18" s="307">
        <v>6434298.1900000004</v>
      </c>
      <c r="K18" s="308">
        <f>(H18+I18)-J18</f>
        <v>1329372.0699999994</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3885</v>
      </c>
      <c r="G21" s="306"/>
      <c r="H21" s="307">
        <v>232353</v>
      </c>
      <c r="I21" s="115">
        <f t="shared" ref="I21:I34" si="0">H21*F$114</f>
        <v>204735.61061065312</v>
      </c>
      <c r="J21" s="307">
        <v>40000</v>
      </c>
      <c r="K21" s="308">
        <f t="shared" ref="K21:K34" si="1">(H21+I21)-J21</f>
        <v>397088.61061065312</v>
      </c>
    </row>
    <row r="22" spans="1:11" ht="18" customHeight="1" x14ac:dyDescent="0.4">
      <c r="A22" s="1" t="s">
        <v>76</v>
      </c>
      <c r="B22" t="s">
        <v>6</v>
      </c>
      <c r="F22" s="306"/>
      <c r="G22" s="306"/>
      <c r="H22" s="307">
        <v>49320</v>
      </c>
      <c r="I22" s="115">
        <f t="shared" si="0"/>
        <v>43457.843519633541</v>
      </c>
      <c r="J22" s="307"/>
      <c r="K22" s="308">
        <f t="shared" si="1"/>
        <v>92777.843519633549</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c r="G25" s="306">
        <v>6</v>
      </c>
      <c r="H25" s="307">
        <v>3265</v>
      </c>
      <c r="I25" s="115">
        <f t="shared" si="0"/>
        <v>2876.9233392458132</v>
      </c>
      <c r="J25" s="307"/>
      <c r="K25" s="308">
        <f t="shared" si="1"/>
        <v>6141.9233392458136</v>
      </c>
    </row>
    <row r="26" spans="1:11" ht="18" customHeight="1" x14ac:dyDescent="0.4">
      <c r="A26" s="1" t="s">
        <v>80</v>
      </c>
      <c r="B26" t="s">
        <v>45</v>
      </c>
      <c r="F26" s="306"/>
      <c r="G26" s="306"/>
      <c r="H26" s="307">
        <v>0</v>
      </c>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7857</v>
      </c>
      <c r="G29" s="306"/>
      <c r="H29" s="307">
        <v>765614</v>
      </c>
      <c r="I29" s="115">
        <f t="shared" si="0"/>
        <v>674613.41055232589</v>
      </c>
      <c r="J29" s="307">
        <v>0</v>
      </c>
      <c r="K29" s="308">
        <f t="shared" si="1"/>
        <v>1440227.4105523259</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11742</v>
      </c>
      <c r="G36" s="310">
        <f t="shared" si="2"/>
        <v>6</v>
      </c>
      <c r="H36" s="310">
        <f t="shared" si="2"/>
        <v>1050552</v>
      </c>
      <c r="I36" s="308">
        <f t="shared" si="2"/>
        <v>925683.78802185832</v>
      </c>
      <c r="J36" s="308">
        <f t="shared" si="2"/>
        <v>40000</v>
      </c>
      <c r="K36" s="308">
        <f t="shared" si="2"/>
        <v>1936235.7880218583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167226</v>
      </c>
      <c r="G40" s="306"/>
      <c r="H40" s="307">
        <v>7129339</v>
      </c>
      <c r="I40" s="115">
        <v>0</v>
      </c>
      <c r="J40" s="307"/>
      <c r="K40" s="308">
        <f t="shared" ref="K40:K47" si="3">(H40+I40)-J40</f>
        <v>7129339</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167226</v>
      </c>
      <c r="G49" s="312">
        <f t="shared" si="4"/>
        <v>0</v>
      </c>
      <c r="H49" s="308">
        <f t="shared" si="4"/>
        <v>7129339</v>
      </c>
      <c r="I49" s="308">
        <f t="shared" si="4"/>
        <v>0</v>
      </c>
      <c r="J49" s="308">
        <f t="shared" si="4"/>
        <v>0</v>
      </c>
      <c r="K49" s="308">
        <f t="shared" si="4"/>
        <v>7129339</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315</v>
      </c>
      <c r="C53" s="659"/>
      <c r="D53" s="654"/>
      <c r="F53" s="306"/>
      <c r="G53" s="306"/>
      <c r="H53" s="307">
        <v>0</v>
      </c>
      <c r="I53" s="115">
        <f t="shared" ref="I53:I56" si="5">H53*F$114</f>
        <v>0</v>
      </c>
      <c r="J53" s="307"/>
      <c r="K53" s="308">
        <f t="shared" ref="K53:K62" si="6">(H53+I53)-J53</f>
        <v>0</v>
      </c>
    </row>
    <row r="54" spans="1:11" ht="18" customHeight="1" x14ac:dyDescent="0.4">
      <c r="A54" s="1" t="s">
        <v>93</v>
      </c>
      <c r="B54" s="400" t="s">
        <v>341</v>
      </c>
      <c r="C54" s="401"/>
      <c r="D54" s="402"/>
      <c r="F54" s="306"/>
      <c r="G54" s="306"/>
      <c r="H54" s="307">
        <v>247353</v>
      </c>
      <c r="I54" s="115">
        <f t="shared" si="5"/>
        <v>217952.71630397232</v>
      </c>
      <c r="J54" s="307">
        <v>106030</v>
      </c>
      <c r="K54" s="308">
        <f t="shared" si="6"/>
        <v>359275.71630397229</v>
      </c>
    </row>
    <row r="55" spans="1:11" ht="18" customHeight="1" x14ac:dyDescent="0.4">
      <c r="A55" s="1" t="s">
        <v>94</v>
      </c>
      <c r="B55" s="655" t="s">
        <v>316</v>
      </c>
      <c r="C55" s="653"/>
      <c r="D55" s="654"/>
      <c r="F55" s="306"/>
      <c r="G55" s="306"/>
      <c r="H55" s="307">
        <v>1300</v>
      </c>
      <c r="I55" s="115">
        <f t="shared" si="5"/>
        <v>1145.4824934209976</v>
      </c>
      <c r="J55" s="307"/>
      <c r="K55" s="308">
        <f t="shared" si="6"/>
        <v>2445.4824934209973</v>
      </c>
    </row>
    <row r="56" spans="1:11" ht="18" customHeight="1" x14ac:dyDescent="0.4">
      <c r="A56" s="1" t="s">
        <v>95</v>
      </c>
      <c r="B56" s="655" t="s">
        <v>317</v>
      </c>
      <c r="C56" s="653"/>
      <c r="D56" s="654"/>
      <c r="F56" s="306">
        <v>3076</v>
      </c>
      <c r="G56" s="306">
        <v>1927</v>
      </c>
      <c r="H56" s="307">
        <v>1205195</v>
      </c>
      <c r="I56" s="115">
        <f t="shared" si="5"/>
        <v>1061945.9797373225</v>
      </c>
      <c r="J56" s="307">
        <v>494752</v>
      </c>
      <c r="K56" s="308">
        <f t="shared" si="6"/>
        <v>1772388.9797373228</v>
      </c>
    </row>
    <row r="57" spans="1:11" ht="18" customHeight="1" x14ac:dyDescent="0.4">
      <c r="A57" s="1" t="s">
        <v>96</v>
      </c>
      <c r="B57" s="655" t="s">
        <v>318</v>
      </c>
      <c r="C57" s="653"/>
      <c r="D57" s="654"/>
      <c r="F57" s="306"/>
      <c r="G57" s="306"/>
      <c r="H57" s="307">
        <v>1942666</v>
      </c>
      <c r="I57" s="115">
        <v>0</v>
      </c>
      <c r="J57" s="307"/>
      <c r="K57" s="308">
        <f t="shared" si="6"/>
        <v>1942666</v>
      </c>
    </row>
    <row r="58" spans="1:11" ht="18" customHeight="1" x14ac:dyDescent="0.4">
      <c r="A58" s="1" t="s">
        <v>97</v>
      </c>
      <c r="B58" s="483" t="s">
        <v>430</v>
      </c>
      <c r="C58" s="401"/>
      <c r="D58" s="402"/>
      <c r="F58" s="306"/>
      <c r="G58" s="306"/>
      <c r="H58" s="307">
        <v>11252525</v>
      </c>
      <c r="I58" s="115">
        <v>0</v>
      </c>
      <c r="J58" s="307">
        <v>4651086</v>
      </c>
      <c r="K58" s="308">
        <f t="shared" si="6"/>
        <v>6601439</v>
      </c>
    </row>
    <row r="59" spans="1:11" ht="18" customHeight="1" x14ac:dyDescent="0.4">
      <c r="A59" s="1" t="s">
        <v>98</v>
      </c>
      <c r="B59" s="652" t="s">
        <v>431</v>
      </c>
      <c r="C59" s="653"/>
      <c r="D59" s="654"/>
      <c r="F59" s="306"/>
      <c r="G59" s="306"/>
      <c r="H59" s="307">
        <v>11032151</v>
      </c>
      <c r="I59" s="115">
        <v>0</v>
      </c>
      <c r="J59" s="307">
        <v>5915662</v>
      </c>
      <c r="K59" s="308">
        <f t="shared" si="6"/>
        <v>5116489</v>
      </c>
    </row>
    <row r="60" spans="1:11" ht="18" customHeight="1" x14ac:dyDescent="0.4">
      <c r="A60" s="1" t="s">
        <v>99</v>
      </c>
      <c r="B60" s="483" t="s">
        <v>432</v>
      </c>
      <c r="C60" s="401"/>
      <c r="D60" s="402"/>
      <c r="F60" s="306"/>
      <c r="G60" s="306"/>
      <c r="H60" s="307">
        <v>1070277</v>
      </c>
      <c r="I60" s="115">
        <v>0</v>
      </c>
      <c r="J60" s="307">
        <v>656117</v>
      </c>
      <c r="K60" s="308">
        <f t="shared" si="6"/>
        <v>414160</v>
      </c>
    </row>
    <row r="61" spans="1:11" ht="18" customHeight="1" x14ac:dyDescent="0.4">
      <c r="A61" s="1" t="s">
        <v>100</v>
      </c>
      <c r="B61" s="483" t="s">
        <v>463</v>
      </c>
      <c r="C61" s="401"/>
      <c r="D61" s="402"/>
      <c r="F61" s="306"/>
      <c r="G61" s="306"/>
      <c r="H61" s="307">
        <v>2517522</v>
      </c>
      <c r="I61" s="115">
        <v>0</v>
      </c>
      <c r="J61" s="307">
        <v>1709818</v>
      </c>
      <c r="K61" s="308">
        <f t="shared" si="6"/>
        <v>807704</v>
      </c>
    </row>
    <row r="62" spans="1:11" ht="18" customHeight="1" x14ac:dyDescent="0.4">
      <c r="A62" s="1" t="s">
        <v>101</v>
      </c>
      <c r="B62" s="655"/>
      <c r="C62" s="653"/>
      <c r="D62" s="654"/>
      <c r="F62" s="306"/>
      <c r="G62" s="306"/>
      <c r="H62" s="307"/>
      <c r="I62" s="115">
        <v>0</v>
      </c>
      <c r="J62" s="307"/>
      <c r="K62" s="308">
        <f t="shared" si="6"/>
        <v>0</v>
      </c>
    </row>
    <row r="63" spans="1:11" ht="18" customHeight="1" x14ac:dyDescent="0.4">
      <c r="A63" s="1"/>
      <c r="I63" s="403"/>
    </row>
    <row r="64" spans="1:11" ht="18" customHeight="1" x14ac:dyDescent="0.4">
      <c r="A64" s="1" t="s">
        <v>144</v>
      </c>
      <c r="B64" s="95" t="s">
        <v>145</v>
      </c>
      <c r="E64" s="95" t="s">
        <v>7</v>
      </c>
      <c r="F64" s="310">
        <f t="shared" ref="F64:K64" si="7">SUM(F53:F62)</f>
        <v>3076</v>
      </c>
      <c r="G64" s="310">
        <f t="shared" si="7"/>
        <v>1927</v>
      </c>
      <c r="H64" s="308">
        <f t="shared" si="7"/>
        <v>29268989</v>
      </c>
      <c r="I64" s="308">
        <f t="shared" si="7"/>
        <v>1281044.1785347159</v>
      </c>
      <c r="J64" s="308">
        <f t="shared" si="7"/>
        <v>13533465</v>
      </c>
      <c r="K64" s="308">
        <f t="shared" si="7"/>
        <v>17016568.178534716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5279</v>
      </c>
      <c r="G68" s="313"/>
      <c r="H68" s="307">
        <v>237633</v>
      </c>
      <c r="I68" s="115">
        <f t="shared" ref="I68" si="8">H68*F$114</f>
        <v>209388.03181470148</v>
      </c>
      <c r="J68" s="307">
        <v>46578</v>
      </c>
      <c r="K68" s="308">
        <f>(H68+I68)-J68</f>
        <v>400443.03181470151</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5279</v>
      </c>
      <c r="G74" s="411">
        <f t="shared" si="9"/>
        <v>0</v>
      </c>
      <c r="H74" s="411">
        <f t="shared" si="9"/>
        <v>237633</v>
      </c>
      <c r="I74" s="412">
        <f t="shared" si="9"/>
        <v>209388.03181470148</v>
      </c>
      <c r="J74" s="411">
        <f t="shared" si="9"/>
        <v>46578</v>
      </c>
      <c r="K74" s="308">
        <f t="shared" si="9"/>
        <v>400443.03181470151</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530975</v>
      </c>
      <c r="I77" s="115">
        <v>0</v>
      </c>
      <c r="J77" s="307"/>
      <c r="K77" s="308">
        <f>(H77+I77)-J77</f>
        <v>530975</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v>1545</v>
      </c>
      <c r="I79" s="115">
        <v>0</v>
      </c>
      <c r="J79" s="307"/>
      <c r="K79" s="308">
        <f>(H79+I79)-J79</f>
        <v>1545</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0</v>
      </c>
      <c r="G82" s="411">
        <f t="shared" si="10"/>
        <v>0</v>
      </c>
      <c r="H82" s="308">
        <f t="shared" si="10"/>
        <v>532520</v>
      </c>
      <c r="I82" s="308">
        <f t="shared" si="10"/>
        <v>0</v>
      </c>
      <c r="J82" s="308">
        <f t="shared" si="10"/>
        <v>0</v>
      </c>
      <c r="K82" s="308">
        <f t="shared" si="10"/>
        <v>532520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v>567576</v>
      </c>
      <c r="I86" s="115">
        <v>0</v>
      </c>
      <c r="J86" s="307">
        <v>13504</v>
      </c>
      <c r="K86" s="308">
        <f t="shared" ref="K86:K96" si="11">(H86+I86)-J86</f>
        <v>554072</v>
      </c>
    </row>
    <row r="87" spans="1:11" ht="18" customHeight="1" x14ac:dyDescent="0.4">
      <c r="A87" s="1" t="s">
        <v>114</v>
      </c>
      <c r="B87" s="94" t="s">
        <v>14</v>
      </c>
      <c r="F87" s="306"/>
      <c r="G87" s="306"/>
      <c r="H87" s="307"/>
      <c r="I87" s="115">
        <f t="shared" ref="I87:I96" si="12">H87*F$114</f>
        <v>0</v>
      </c>
      <c r="J87" s="307"/>
      <c r="K87" s="308">
        <f t="shared" si="11"/>
        <v>0</v>
      </c>
    </row>
    <row r="88" spans="1:11" ht="18" customHeight="1" x14ac:dyDescent="0.4">
      <c r="A88" s="1" t="s">
        <v>115</v>
      </c>
      <c r="B88" s="94" t="s">
        <v>116</v>
      </c>
      <c r="F88" s="306"/>
      <c r="G88" s="306"/>
      <c r="H88" s="307">
        <v>144279</v>
      </c>
      <c r="I88" s="115">
        <f t="shared" si="12"/>
        <v>127130.05282176009</v>
      </c>
      <c r="J88" s="307">
        <v>25000</v>
      </c>
      <c r="K88" s="308">
        <f t="shared" si="11"/>
        <v>246409.05282176007</v>
      </c>
    </row>
    <row r="89" spans="1:11" ht="18" customHeight="1" x14ac:dyDescent="0.4">
      <c r="A89" s="1" t="s">
        <v>117</v>
      </c>
      <c r="B89" s="94" t="s">
        <v>58</v>
      </c>
      <c r="F89" s="306"/>
      <c r="G89" s="306"/>
      <c r="H89" s="307"/>
      <c r="I89" s="115">
        <f t="shared" si="12"/>
        <v>0</v>
      </c>
      <c r="J89" s="307"/>
      <c r="K89" s="308">
        <f t="shared" si="11"/>
        <v>0</v>
      </c>
    </row>
    <row r="90" spans="1:11" ht="18" customHeight="1" x14ac:dyDescent="0.4">
      <c r="A90" s="1" t="s">
        <v>118</v>
      </c>
      <c r="B90" s="635" t="s">
        <v>59</v>
      </c>
      <c r="C90" s="636"/>
      <c r="F90" s="306"/>
      <c r="G90" s="306"/>
      <c r="H90" s="307"/>
      <c r="I90" s="115">
        <f t="shared" si="12"/>
        <v>0</v>
      </c>
      <c r="J90" s="307"/>
      <c r="K90" s="308">
        <f t="shared" si="11"/>
        <v>0</v>
      </c>
    </row>
    <row r="91" spans="1:11" ht="18" customHeight="1" x14ac:dyDescent="0.4">
      <c r="A91" s="1" t="s">
        <v>119</v>
      </c>
      <c r="B91" s="94" t="s">
        <v>60</v>
      </c>
      <c r="F91" s="306"/>
      <c r="G91" s="306"/>
      <c r="H91" s="307"/>
      <c r="I91" s="115">
        <f t="shared" si="12"/>
        <v>0</v>
      </c>
      <c r="J91" s="307"/>
      <c r="K91" s="308">
        <f t="shared" si="11"/>
        <v>0</v>
      </c>
    </row>
    <row r="92" spans="1:11" ht="18" customHeight="1" x14ac:dyDescent="0.4">
      <c r="A92" s="1" t="s">
        <v>120</v>
      </c>
      <c r="B92" s="94" t="s">
        <v>121</v>
      </c>
      <c r="F92" s="107"/>
      <c r="G92" s="107"/>
      <c r="H92" s="108"/>
      <c r="I92" s="115">
        <f t="shared" si="12"/>
        <v>0</v>
      </c>
      <c r="J92" s="108"/>
      <c r="K92" s="308">
        <f t="shared" si="11"/>
        <v>0</v>
      </c>
    </row>
    <row r="93" spans="1:11" ht="18" customHeight="1" x14ac:dyDescent="0.4">
      <c r="A93" s="1" t="s">
        <v>122</v>
      </c>
      <c r="B93" s="94" t="s">
        <v>123</v>
      </c>
      <c r="F93" s="306"/>
      <c r="G93" s="306"/>
      <c r="H93" s="307"/>
      <c r="I93" s="115">
        <f t="shared" si="12"/>
        <v>0</v>
      </c>
      <c r="J93" s="307"/>
      <c r="K93" s="308">
        <f t="shared" si="11"/>
        <v>0</v>
      </c>
    </row>
    <row r="94" spans="1:11" ht="18" customHeight="1" x14ac:dyDescent="0.4">
      <c r="A94" s="1" t="s">
        <v>124</v>
      </c>
      <c r="B94" s="655"/>
      <c r="C94" s="653"/>
      <c r="D94" s="654"/>
      <c r="F94" s="306"/>
      <c r="G94" s="306"/>
      <c r="H94" s="307"/>
      <c r="I94" s="115">
        <f t="shared" si="12"/>
        <v>0</v>
      </c>
      <c r="J94" s="307"/>
      <c r="K94" s="308">
        <f t="shared" si="11"/>
        <v>0</v>
      </c>
    </row>
    <row r="95" spans="1:11" ht="18" customHeight="1" x14ac:dyDescent="0.4">
      <c r="A95" s="1" t="s">
        <v>125</v>
      </c>
      <c r="B95" s="655"/>
      <c r="C95" s="653"/>
      <c r="D95" s="654"/>
      <c r="F95" s="306"/>
      <c r="G95" s="306"/>
      <c r="H95" s="307"/>
      <c r="I95" s="115">
        <f t="shared" si="12"/>
        <v>0</v>
      </c>
      <c r="J95" s="307"/>
      <c r="K95" s="308">
        <f t="shared" si="11"/>
        <v>0</v>
      </c>
    </row>
    <row r="96" spans="1:11" ht="18" customHeight="1" x14ac:dyDescent="0.4">
      <c r="A96" s="1" t="s">
        <v>126</v>
      </c>
      <c r="B96" s="655"/>
      <c r="C96" s="653"/>
      <c r="D96" s="654"/>
      <c r="F96" s="306"/>
      <c r="G96" s="306"/>
      <c r="H96" s="307"/>
      <c r="I96" s="115">
        <f t="shared" si="12"/>
        <v>0</v>
      </c>
      <c r="J96" s="307"/>
      <c r="K96" s="308">
        <f t="shared" si="11"/>
        <v>0</v>
      </c>
    </row>
    <row r="97" spans="1:11" ht="18" customHeight="1" x14ac:dyDescent="0.4">
      <c r="A97" s="1"/>
      <c r="B97" s="94"/>
    </row>
    <row r="98" spans="1:11" ht="18" customHeight="1" x14ac:dyDescent="0.4">
      <c r="A98" s="98" t="s">
        <v>150</v>
      </c>
      <c r="B98" s="95" t="s">
        <v>151</v>
      </c>
      <c r="E98" s="95" t="s">
        <v>7</v>
      </c>
      <c r="F98" s="310">
        <f t="shared" ref="F98:K98" si="13">SUM(F86:F96)</f>
        <v>0</v>
      </c>
      <c r="G98" s="310">
        <f t="shared" si="13"/>
        <v>0</v>
      </c>
      <c r="H98" s="310">
        <f t="shared" si="13"/>
        <v>711855</v>
      </c>
      <c r="I98" s="310">
        <f t="shared" si="13"/>
        <v>127130.05282176009</v>
      </c>
      <c r="J98" s="310">
        <f t="shared" si="13"/>
        <v>38504</v>
      </c>
      <c r="K98" s="310">
        <f t="shared" si="13"/>
        <v>800481.05282176007</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c r="G102" s="306"/>
      <c r="H102" s="307">
        <v>46275</v>
      </c>
      <c r="I102" s="115">
        <v>0</v>
      </c>
      <c r="J102" s="307"/>
      <c r="K102" s="308">
        <f>(H102+I102)-J102</f>
        <v>46275</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0</v>
      </c>
      <c r="G108" s="310">
        <f t="shared" si="14"/>
        <v>0</v>
      </c>
      <c r="H108" s="308">
        <f t="shared" si="14"/>
        <v>46275</v>
      </c>
      <c r="I108" s="308">
        <f t="shared" si="14"/>
        <v>0</v>
      </c>
      <c r="J108" s="308">
        <f t="shared" si="14"/>
        <v>0</v>
      </c>
      <c r="K108" s="308">
        <f t="shared" si="14"/>
        <v>46275</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16137703</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0.88114037955461355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416776000</v>
      </c>
    </row>
    <row r="118" spans="1:6" ht="18" customHeight="1" x14ac:dyDescent="0.4">
      <c r="A118" s="1" t="s">
        <v>173</v>
      </c>
      <c r="B118" t="s">
        <v>18</v>
      </c>
      <c r="F118" s="307">
        <v>39156000</v>
      </c>
    </row>
    <row r="119" spans="1:6" ht="18" customHeight="1" x14ac:dyDescent="0.4">
      <c r="A119" s="1" t="s">
        <v>174</v>
      </c>
      <c r="B119" s="95" t="s">
        <v>19</v>
      </c>
      <c r="F119" s="308">
        <f>SUM(F117:F118)</f>
        <v>455932000</v>
      </c>
    </row>
    <row r="120" spans="1:6" ht="18" customHeight="1" x14ac:dyDescent="0.4">
      <c r="A120" s="1"/>
      <c r="B120" s="95"/>
    </row>
    <row r="121" spans="1:6" ht="18" customHeight="1" x14ac:dyDescent="0.4">
      <c r="A121" s="1" t="s">
        <v>167</v>
      </c>
      <c r="B121" s="95" t="s">
        <v>36</v>
      </c>
      <c r="F121" s="307">
        <v>460174000</v>
      </c>
    </row>
    <row r="122" spans="1:6" ht="18" customHeight="1" x14ac:dyDescent="0.4">
      <c r="A122" s="1"/>
    </row>
    <row r="123" spans="1:6" ht="18" customHeight="1" x14ac:dyDescent="0.4">
      <c r="A123" s="1" t="s">
        <v>175</v>
      </c>
      <c r="B123" s="95" t="s">
        <v>20</v>
      </c>
      <c r="F123" s="307">
        <v>-4242000</v>
      </c>
    </row>
    <row r="124" spans="1:6" ht="18" customHeight="1" x14ac:dyDescent="0.4">
      <c r="A124" s="1"/>
    </row>
    <row r="125" spans="1:6" ht="18" customHeight="1" x14ac:dyDescent="0.4">
      <c r="A125" s="1" t="s">
        <v>176</v>
      </c>
      <c r="B125" s="95" t="s">
        <v>21</v>
      </c>
      <c r="F125" s="307">
        <v>-479000</v>
      </c>
    </row>
    <row r="126" spans="1:6" ht="18" customHeight="1" x14ac:dyDescent="0.4">
      <c r="A126" s="1"/>
    </row>
    <row r="127" spans="1:6" ht="18" customHeight="1" x14ac:dyDescent="0.4">
      <c r="A127" s="1" t="s">
        <v>177</v>
      </c>
      <c r="B127" s="95" t="s">
        <v>22</v>
      </c>
      <c r="F127" s="307">
        <v>-4721000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v>0</v>
      </c>
      <c r="I131" s="115">
        <v>0</v>
      </c>
      <c r="J131" s="307">
        <v>0</v>
      </c>
      <c r="K131" s="308">
        <f>(H131+I131)-J131</f>
        <v>0</v>
      </c>
    </row>
    <row r="132" spans="1:11" ht="18" customHeight="1" x14ac:dyDescent="0.4">
      <c r="A132" s="1" t="s">
        <v>159</v>
      </c>
      <c r="B132" t="s">
        <v>25</v>
      </c>
      <c r="F132" s="306"/>
      <c r="G132" s="306"/>
      <c r="H132" s="307">
        <v>0</v>
      </c>
      <c r="I132" s="115">
        <v>0</v>
      </c>
      <c r="J132" s="307">
        <v>0</v>
      </c>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5">SUM(F131:F135)</f>
        <v>0</v>
      </c>
      <c r="G137" s="310">
        <f t="shared" si="15"/>
        <v>0</v>
      </c>
      <c r="H137" s="308">
        <f t="shared" si="15"/>
        <v>0</v>
      </c>
      <c r="I137" s="308">
        <f t="shared" si="15"/>
        <v>0</v>
      </c>
      <c r="J137" s="308">
        <f t="shared" si="15"/>
        <v>0</v>
      </c>
      <c r="K137" s="308">
        <f t="shared" si="15"/>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11742</v>
      </c>
      <c r="G141" s="109">
        <f t="shared" si="16"/>
        <v>6</v>
      </c>
      <c r="H141" s="109">
        <f t="shared" si="16"/>
        <v>1050552</v>
      </c>
      <c r="I141" s="109">
        <f t="shared" si="16"/>
        <v>925683.78802185832</v>
      </c>
      <c r="J141" s="109">
        <f t="shared" si="16"/>
        <v>40000</v>
      </c>
      <c r="K141" s="109">
        <f t="shared" si="16"/>
        <v>1936235.7880218583</v>
      </c>
    </row>
    <row r="142" spans="1:11" ht="18" customHeight="1" x14ac:dyDescent="0.4">
      <c r="A142" s="1" t="s">
        <v>142</v>
      </c>
      <c r="B142" s="95" t="s">
        <v>65</v>
      </c>
      <c r="F142" s="109">
        <f t="shared" ref="F142:K142" si="17">F49</f>
        <v>167226</v>
      </c>
      <c r="G142" s="109">
        <f t="shared" si="17"/>
        <v>0</v>
      </c>
      <c r="H142" s="109">
        <f t="shared" si="17"/>
        <v>7129339</v>
      </c>
      <c r="I142" s="109">
        <f t="shared" si="17"/>
        <v>0</v>
      </c>
      <c r="J142" s="109">
        <f t="shared" si="17"/>
        <v>0</v>
      </c>
      <c r="K142" s="109">
        <f t="shared" si="17"/>
        <v>7129339</v>
      </c>
    </row>
    <row r="143" spans="1:11" ht="18" customHeight="1" x14ac:dyDescent="0.4">
      <c r="A143" s="1" t="s">
        <v>144</v>
      </c>
      <c r="B143" s="95" t="s">
        <v>66</v>
      </c>
      <c r="F143" s="109">
        <f t="shared" ref="F143:K143" si="18">F64</f>
        <v>3076</v>
      </c>
      <c r="G143" s="109">
        <f t="shared" si="18"/>
        <v>1927</v>
      </c>
      <c r="H143" s="109">
        <f t="shared" si="18"/>
        <v>29268989</v>
      </c>
      <c r="I143" s="109">
        <f t="shared" si="18"/>
        <v>1281044.1785347159</v>
      </c>
      <c r="J143" s="109">
        <f t="shared" si="18"/>
        <v>13533465</v>
      </c>
      <c r="K143" s="109">
        <f t="shared" si="18"/>
        <v>17016568.178534716</v>
      </c>
    </row>
    <row r="144" spans="1:11" ht="18" customHeight="1" x14ac:dyDescent="0.4">
      <c r="A144" s="1" t="s">
        <v>146</v>
      </c>
      <c r="B144" s="95" t="s">
        <v>67</v>
      </c>
      <c r="F144" s="109">
        <f t="shared" ref="F144:K144" si="19">F74</f>
        <v>5279</v>
      </c>
      <c r="G144" s="109">
        <f t="shared" si="19"/>
        <v>0</v>
      </c>
      <c r="H144" s="109">
        <f t="shared" si="19"/>
        <v>237633</v>
      </c>
      <c r="I144" s="109">
        <f t="shared" si="19"/>
        <v>209388.03181470148</v>
      </c>
      <c r="J144" s="109">
        <f t="shared" si="19"/>
        <v>46578</v>
      </c>
      <c r="K144" s="109">
        <f t="shared" si="19"/>
        <v>400443.03181470151</v>
      </c>
    </row>
    <row r="145" spans="1:11" ht="18" customHeight="1" x14ac:dyDescent="0.4">
      <c r="A145" s="1" t="s">
        <v>148</v>
      </c>
      <c r="B145" s="95" t="s">
        <v>68</v>
      </c>
      <c r="F145" s="109">
        <f t="shared" ref="F145:K145" si="20">F82</f>
        <v>0</v>
      </c>
      <c r="G145" s="109">
        <f t="shared" si="20"/>
        <v>0</v>
      </c>
      <c r="H145" s="109">
        <f t="shared" si="20"/>
        <v>532520</v>
      </c>
      <c r="I145" s="109">
        <f t="shared" si="20"/>
        <v>0</v>
      </c>
      <c r="J145" s="109">
        <f t="shared" si="20"/>
        <v>0</v>
      </c>
      <c r="K145" s="109">
        <f t="shared" si="20"/>
        <v>532520</v>
      </c>
    </row>
    <row r="146" spans="1:11" ht="18" customHeight="1" x14ac:dyDescent="0.4">
      <c r="A146" s="1" t="s">
        <v>150</v>
      </c>
      <c r="B146" s="95" t="s">
        <v>69</v>
      </c>
      <c r="F146" s="109">
        <f t="shared" ref="F146:K146" si="21">F98</f>
        <v>0</v>
      </c>
      <c r="G146" s="109">
        <f t="shared" si="21"/>
        <v>0</v>
      </c>
      <c r="H146" s="109">
        <f t="shared" si="21"/>
        <v>711855</v>
      </c>
      <c r="I146" s="109">
        <f t="shared" si="21"/>
        <v>127130.05282176009</v>
      </c>
      <c r="J146" s="109">
        <f t="shared" si="21"/>
        <v>38504</v>
      </c>
      <c r="K146" s="109">
        <f t="shared" si="21"/>
        <v>800481.05282176007</v>
      </c>
    </row>
    <row r="147" spans="1:11" ht="18" customHeight="1" x14ac:dyDescent="0.4">
      <c r="A147" s="1" t="s">
        <v>153</v>
      </c>
      <c r="B147" s="95" t="s">
        <v>61</v>
      </c>
      <c r="F147" s="310">
        <f t="shared" ref="F147:K147" si="22">F108</f>
        <v>0</v>
      </c>
      <c r="G147" s="310">
        <f t="shared" si="22"/>
        <v>0</v>
      </c>
      <c r="H147" s="310">
        <f t="shared" si="22"/>
        <v>46275</v>
      </c>
      <c r="I147" s="310">
        <f t="shared" si="22"/>
        <v>0</v>
      </c>
      <c r="J147" s="310">
        <f t="shared" si="22"/>
        <v>0</v>
      </c>
      <c r="K147" s="310">
        <f t="shared" si="22"/>
        <v>46275</v>
      </c>
    </row>
    <row r="148" spans="1:11" ht="18" customHeight="1" x14ac:dyDescent="0.4">
      <c r="A148" s="1" t="s">
        <v>155</v>
      </c>
      <c r="B148" s="95" t="s">
        <v>70</v>
      </c>
      <c r="F148" s="110" t="s">
        <v>73</v>
      </c>
      <c r="G148" s="110" t="s">
        <v>73</v>
      </c>
      <c r="H148" s="111" t="s">
        <v>73</v>
      </c>
      <c r="I148" s="111" t="s">
        <v>73</v>
      </c>
      <c r="J148" s="111" t="s">
        <v>73</v>
      </c>
      <c r="K148" s="106">
        <f>F111</f>
        <v>16137703</v>
      </c>
    </row>
    <row r="149" spans="1:11" ht="18" customHeight="1" x14ac:dyDescent="0.4">
      <c r="A149" s="1" t="s">
        <v>163</v>
      </c>
      <c r="B149" s="95" t="s">
        <v>71</v>
      </c>
      <c r="F149" s="310">
        <f t="shared" ref="F149:K149" si="23">F137</f>
        <v>0</v>
      </c>
      <c r="G149" s="310">
        <f t="shared" si="23"/>
        <v>0</v>
      </c>
      <c r="H149" s="310">
        <f t="shared" si="23"/>
        <v>0</v>
      </c>
      <c r="I149" s="310">
        <f t="shared" si="23"/>
        <v>0</v>
      </c>
      <c r="J149" s="310">
        <f t="shared" si="23"/>
        <v>0</v>
      </c>
      <c r="K149" s="310">
        <f t="shared" si="23"/>
        <v>0</v>
      </c>
    </row>
    <row r="150" spans="1:11" ht="18" customHeight="1" x14ac:dyDescent="0.4">
      <c r="A150" s="1" t="s">
        <v>185</v>
      </c>
      <c r="B150" s="95" t="s">
        <v>186</v>
      </c>
      <c r="F150" s="110" t="s">
        <v>73</v>
      </c>
      <c r="G150" s="110" t="s">
        <v>73</v>
      </c>
      <c r="H150" s="310">
        <f>H18</f>
        <v>7763670.2599999998</v>
      </c>
      <c r="I150" s="310">
        <f>I18</f>
        <v>0</v>
      </c>
      <c r="J150" s="310">
        <f>J18</f>
        <v>6434298.1900000004</v>
      </c>
      <c r="K150" s="310">
        <f>K18</f>
        <v>1329372.0699999994</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187323</v>
      </c>
      <c r="G152" s="114">
        <f t="shared" si="24"/>
        <v>1933</v>
      </c>
      <c r="H152" s="114">
        <f t="shared" si="24"/>
        <v>46740833.259999998</v>
      </c>
      <c r="I152" s="114">
        <f t="shared" si="24"/>
        <v>2543246.0511930357</v>
      </c>
      <c r="J152" s="114">
        <f t="shared" si="24"/>
        <v>20092845.190000001</v>
      </c>
      <c r="K152" s="114">
        <f t="shared" si="24"/>
        <v>45328937.121193036</v>
      </c>
    </row>
    <row r="154" spans="1:11" ht="18" customHeight="1" x14ac:dyDescent="0.4">
      <c r="A154" s="98" t="s">
        <v>168</v>
      </c>
      <c r="B154" s="95" t="s">
        <v>28</v>
      </c>
      <c r="F154" s="318">
        <f>K152/F121</f>
        <v>9.8503907481068104E-2</v>
      </c>
    </row>
    <row r="155" spans="1:11" ht="18" customHeight="1" x14ac:dyDescent="0.4">
      <c r="A155" s="98" t="s">
        <v>169</v>
      </c>
      <c r="B155" s="95" t="s">
        <v>72</v>
      </c>
      <c r="F155" s="318">
        <f>K152/F127</f>
        <v>-9.6015541455609057</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K156"/>
  <sheetViews>
    <sheetView showGridLines="0" topLeftCell="A139" zoomScale="80" zoomScaleNormal="80" zoomScaleSheetLayoutView="8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692</v>
      </c>
      <c r="D5" s="666"/>
      <c r="E5" s="666"/>
      <c r="F5" s="666"/>
      <c r="G5" s="667"/>
    </row>
    <row r="6" spans="1:11" ht="18" customHeight="1" x14ac:dyDescent="0.4">
      <c r="B6" s="1" t="s">
        <v>3</v>
      </c>
      <c r="C6" s="668">
        <v>12</v>
      </c>
      <c r="D6" s="669"/>
      <c r="E6" s="669"/>
      <c r="F6" s="669"/>
      <c r="G6" s="670"/>
    </row>
    <row r="7" spans="1:11" ht="18" customHeight="1" x14ac:dyDescent="0.4">
      <c r="B7" s="1" t="s">
        <v>4</v>
      </c>
      <c r="C7" s="689">
        <v>5258</v>
      </c>
      <c r="D7" s="690"/>
      <c r="E7" s="690"/>
      <c r="F7" s="690"/>
      <c r="G7" s="691"/>
    </row>
    <row r="9" spans="1:11" ht="18" customHeight="1" x14ac:dyDescent="0.4">
      <c r="B9" s="1" t="s">
        <v>1</v>
      </c>
      <c r="C9" s="731" t="s">
        <v>292</v>
      </c>
      <c r="D9" s="666"/>
      <c r="E9" s="666"/>
      <c r="F9" s="666"/>
      <c r="G9" s="667"/>
    </row>
    <row r="10" spans="1:11" ht="18" customHeight="1" x14ac:dyDescent="0.4">
      <c r="B10" s="1" t="s">
        <v>2</v>
      </c>
      <c r="C10" s="733" t="s">
        <v>293</v>
      </c>
      <c r="D10" s="661"/>
      <c r="E10" s="661"/>
      <c r="F10" s="661"/>
      <c r="G10" s="662"/>
    </row>
    <row r="11" spans="1:11" ht="18" customHeight="1" x14ac:dyDescent="0.4">
      <c r="B11" s="1" t="s">
        <v>32</v>
      </c>
      <c r="C11" s="682" t="s">
        <v>294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15831811.01</v>
      </c>
      <c r="I18" s="115">
        <v>0</v>
      </c>
      <c r="J18" s="307">
        <v>13120932.449999999</v>
      </c>
      <c r="K18" s="308">
        <f>(H18+I18)-J18</f>
        <v>2710878.5600000005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2835</v>
      </c>
      <c r="G21" s="306">
        <v>5303</v>
      </c>
      <c r="H21" s="307">
        <v>155781</v>
      </c>
      <c r="I21" s="115">
        <f t="shared" ref="I21:I34" si="0">H21*F$114</f>
        <v>114872.9094</v>
      </c>
      <c r="J21" s="307">
        <v>32112</v>
      </c>
      <c r="K21" s="308">
        <f t="shared" ref="K21:K34" si="1">(H21+I21)-J21</f>
        <v>238541.9094</v>
      </c>
    </row>
    <row r="22" spans="1:11" ht="18" customHeight="1" x14ac:dyDescent="0.4">
      <c r="A22" s="1" t="s">
        <v>76</v>
      </c>
      <c r="B22" t="s">
        <v>6</v>
      </c>
      <c r="F22" s="306">
        <v>17</v>
      </c>
      <c r="G22" s="306">
        <v>94</v>
      </c>
      <c r="H22" s="307">
        <v>765</v>
      </c>
      <c r="I22" s="115">
        <f t="shared" si="0"/>
        <v>564.11099999999999</v>
      </c>
      <c r="J22" s="307"/>
      <c r="K22" s="308">
        <f t="shared" si="1"/>
        <v>1329.1109999999999</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10470</v>
      </c>
      <c r="G24" s="306">
        <v>715</v>
      </c>
      <c r="H24" s="307">
        <v>307768</v>
      </c>
      <c r="I24" s="115">
        <f t="shared" si="0"/>
        <v>226948.12320000003</v>
      </c>
      <c r="J24" s="307">
        <v>172315</v>
      </c>
      <c r="K24" s="308">
        <f t="shared" si="1"/>
        <v>362401.12320000003</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44163</v>
      </c>
      <c r="G29" s="306">
        <v>13049</v>
      </c>
      <c r="H29" s="307">
        <v>2511050</v>
      </c>
      <c r="I29" s="115">
        <f t="shared" si="0"/>
        <v>1851648.2700000003</v>
      </c>
      <c r="J29" s="307">
        <v>1487737</v>
      </c>
      <c r="K29" s="308">
        <f t="shared" si="1"/>
        <v>2874961.2700000005</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57485</v>
      </c>
      <c r="G36" s="310">
        <f t="shared" si="2"/>
        <v>19161</v>
      </c>
      <c r="H36" s="310">
        <f t="shared" si="2"/>
        <v>2975364</v>
      </c>
      <c r="I36" s="308">
        <f t="shared" si="2"/>
        <v>2194033.4136000006</v>
      </c>
      <c r="J36" s="308">
        <f t="shared" si="2"/>
        <v>1692164</v>
      </c>
      <c r="K36" s="308">
        <f t="shared" si="2"/>
        <v>3477233.4136000006</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354085</v>
      </c>
      <c r="G40" s="306"/>
      <c r="H40" s="307">
        <v>15790933</v>
      </c>
      <c r="I40" s="115">
        <f t="shared" ref="I40:I42" si="3">H40*F$114</f>
        <v>11644233.994200001</v>
      </c>
      <c r="J40" s="307"/>
      <c r="K40" s="308">
        <f t="shared" ref="K40:K47" si="4">(H40+I40)-J40</f>
        <v>27435166.994199999</v>
      </c>
    </row>
    <row r="41" spans="1:11" ht="18" customHeight="1" x14ac:dyDescent="0.4">
      <c r="A41" s="1" t="s">
        <v>88</v>
      </c>
      <c r="B41" s="635" t="s">
        <v>50</v>
      </c>
      <c r="C41" s="636"/>
      <c r="F41" s="306">
        <v>5997</v>
      </c>
      <c r="G41" s="306"/>
      <c r="H41" s="307">
        <v>311844</v>
      </c>
      <c r="I41" s="115">
        <f t="shared" si="3"/>
        <v>229953.76560000001</v>
      </c>
      <c r="J41" s="307"/>
      <c r="K41" s="308">
        <f t="shared" si="4"/>
        <v>541797.76560000004</v>
      </c>
    </row>
    <row r="42" spans="1:11" ht="18" customHeight="1" x14ac:dyDescent="0.4">
      <c r="A42" s="1" t="s">
        <v>89</v>
      </c>
      <c r="B42" s="94" t="s">
        <v>11</v>
      </c>
      <c r="F42" s="306">
        <v>21222</v>
      </c>
      <c r="G42" s="306">
        <v>311</v>
      </c>
      <c r="H42" s="307">
        <v>944033</v>
      </c>
      <c r="I42" s="115">
        <f t="shared" si="3"/>
        <v>696129.93420000002</v>
      </c>
      <c r="J42" s="307">
        <v>102316</v>
      </c>
      <c r="K42" s="308">
        <f t="shared" si="4"/>
        <v>1537846.9342</v>
      </c>
    </row>
    <row r="43" spans="1:11" ht="18" customHeight="1" x14ac:dyDescent="0.4">
      <c r="A43" s="1" t="s">
        <v>90</v>
      </c>
      <c r="B43" s="94" t="s">
        <v>10</v>
      </c>
      <c r="F43" s="306"/>
      <c r="G43" s="306"/>
      <c r="H43" s="307"/>
      <c r="I43" s="115">
        <v>0</v>
      </c>
      <c r="J43" s="307"/>
      <c r="K43" s="308">
        <f t="shared" si="4"/>
        <v>0</v>
      </c>
    </row>
    <row r="44" spans="1:11" ht="18" customHeight="1" x14ac:dyDescent="0.4">
      <c r="A44" s="1" t="s">
        <v>91</v>
      </c>
      <c r="B44" s="630"/>
      <c r="C44" s="631"/>
      <c r="D44" s="632"/>
      <c r="F44" s="311"/>
      <c r="G44" s="311"/>
      <c r="H44" s="311"/>
      <c r="I44" s="116">
        <v>0</v>
      </c>
      <c r="J44" s="311"/>
      <c r="K44" s="353">
        <f t="shared" si="4"/>
        <v>0</v>
      </c>
    </row>
    <row r="45" spans="1:11" ht="18" customHeight="1" x14ac:dyDescent="0.4">
      <c r="A45" s="1" t="s">
        <v>139</v>
      </c>
      <c r="B45" s="630"/>
      <c r="C45" s="631"/>
      <c r="D45" s="632"/>
      <c r="F45" s="306"/>
      <c r="G45" s="306"/>
      <c r="H45" s="307"/>
      <c r="I45" s="115">
        <v>0</v>
      </c>
      <c r="J45" s="307"/>
      <c r="K45" s="308">
        <f t="shared" si="4"/>
        <v>0</v>
      </c>
    </row>
    <row r="46" spans="1:11" ht="18" customHeight="1" x14ac:dyDescent="0.4">
      <c r="A46" s="1" t="s">
        <v>140</v>
      </c>
      <c r="B46" s="630"/>
      <c r="C46" s="631"/>
      <c r="D46" s="632"/>
      <c r="F46" s="306"/>
      <c r="G46" s="306"/>
      <c r="H46" s="307"/>
      <c r="I46" s="115">
        <v>0</v>
      </c>
      <c r="J46" s="307"/>
      <c r="K46" s="308">
        <f t="shared" si="4"/>
        <v>0</v>
      </c>
    </row>
    <row r="47" spans="1:11" ht="18" customHeight="1" x14ac:dyDescent="0.4">
      <c r="A47" s="1" t="s">
        <v>141</v>
      </c>
      <c r="B47" s="630"/>
      <c r="C47" s="631"/>
      <c r="D47" s="632"/>
      <c r="F47" s="306"/>
      <c r="G47" s="306"/>
      <c r="H47" s="307"/>
      <c r="I47" s="115">
        <v>0</v>
      </c>
      <c r="J47" s="307"/>
      <c r="K47" s="308">
        <f t="shared" si="4"/>
        <v>0</v>
      </c>
    </row>
    <row r="49" spans="1:11" ht="18" customHeight="1" x14ac:dyDescent="0.4">
      <c r="A49" s="98" t="s">
        <v>142</v>
      </c>
      <c r="B49" s="95" t="s">
        <v>143</v>
      </c>
      <c r="E49" s="95" t="s">
        <v>7</v>
      </c>
      <c r="F49" s="341">
        <f t="shared" ref="F49:K49" si="5">SUM(F40:F47)</f>
        <v>381304</v>
      </c>
      <c r="G49" s="312">
        <f t="shared" si="5"/>
        <v>311</v>
      </c>
      <c r="H49" s="308">
        <f t="shared" si="5"/>
        <v>17046810</v>
      </c>
      <c r="I49" s="308">
        <f t="shared" si="5"/>
        <v>12570317.694</v>
      </c>
      <c r="J49" s="308">
        <f t="shared" si="5"/>
        <v>102316</v>
      </c>
      <c r="K49" s="308">
        <f t="shared" si="5"/>
        <v>29514811.693999998</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443</v>
      </c>
      <c r="C53" s="659"/>
      <c r="D53" s="654"/>
      <c r="F53" s="306"/>
      <c r="G53" s="306"/>
      <c r="H53" s="307">
        <v>7144543</v>
      </c>
      <c r="I53" s="115">
        <v>0</v>
      </c>
      <c r="J53" s="307"/>
      <c r="K53" s="308">
        <f t="shared" ref="K53:K62" si="6">(H53+I53)-J53</f>
        <v>7144543</v>
      </c>
    </row>
    <row r="54" spans="1:11" ht="18" customHeight="1" x14ac:dyDescent="0.4">
      <c r="A54" s="1" t="s">
        <v>93</v>
      </c>
      <c r="B54" s="400" t="s">
        <v>464</v>
      </c>
      <c r="C54" s="401"/>
      <c r="D54" s="402"/>
      <c r="F54" s="306"/>
      <c r="G54" s="306"/>
      <c r="H54" s="307">
        <v>13000</v>
      </c>
      <c r="I54" s="115">
        <v>0</v>
      </c>
      <c r="J54" s="307"/>
      <c r="K54" s="308">
        <f t="shared" si="6"/>
        <v>13000</v>
      </c>
    </row>
    <row r="55" spans="1:11" ht="18" customHeight="1" x14ac:dyDescent="0.4">
      <c r="A55" s="1" t="s">
        <v>94</v>
      </c>
      <c r="B55" s="655" t="s">
        <v>307</v>
      </c>
      <c r="C55" s="653"/>
      <c r="D55" s="654"/>
      <c r="F55" s="306"/>
      <c r="G55" s="306"/>
      <c r="H55" s="307">
        <v>230071</v>
      </c>
      <c r="I55" s="115">
        <v>0</v>
      </c>
      <c r="J55" s="307"/>
      <c r="K55" s="308">
        <f t="shared" si="6"/>
        <v>230071</v>
      </c>
    </row>
    <row r="56" spans="1:11" ht="18" customHeight="1" x14ac:dyDescent="0.4">
      <c r="A56" s="1" t="s">
        <v>95</v>
      </c>
      <c r="B56" s="655" t="s">
        <v>465</v>
      </c>
      <c r="C56" s="653"/>
      <c r="D56" s="654"/>
      <c r="F56" s="306"/>
      <c r="G56" s="306"/>
      <c r="H56" s="307">
        <v>51830</v>
      </c>
      <c r="I56" s="115">
        <v>0</v>
      </c>
      <c r="J56" s="307"/>
      <c r="K56" s="308">
        <f t="shared" si="6"/>
        <v>51830</v>
      </c>
    </row>
    <row r="57" spans="1:11" ht="18" customHeight="1" x14ac:dyDescent="0.4">
      <c r="A57" s="1" t="s">
        <v>96</v>
      </c>
      <c r="B57" s="655" t="s">
        <v>693</v>
      </c>
      <c r="C57" s="653"/>
      <c r="D57" s="654"/>
      <c r="F57" s="306"/>
      <c r="G57" s="306"/>
      <c r="H57" s="307">
        <v>1256041</v>
      </c>
      <c r="I57" s="115">
        <v>0</v>
      </c>
      <c r="J57" s="307"/>
      <c r="K57" s="308">
        <f t="shared" si="6"/>
        <v>1256041</v>
      </c>
    </row>
    <row r="58" spans="1:11" ht="18" customHeight="1" x14ac:dyDescent="0.4">
      <c r="A58" s="1" t="s">
        <v>97</v>
      </c>
      <c r="B58" s="483" t="s">
        <v>694</v>
      </c>
      <c r="C58" s="401"/>
      <c r="D58" s="402"/>
      <c r="F58" s="306"/>
      <c r="G58" s="306"/>
      <c r="H58" s="307">
        <f>5540819-1367896</f>
        <v>4172923</v>
      </c>
      <c r="I58" s="115">
        <f t="shared" ref="I58:I59" si="7">H58*F$114</f>
        <v>3077113.4202000001</v>
      </c>
      <c r="J58" s="307">
        <f>1705014+598456</f>
        <v>2303470</v>
      </c>
      <c r="K58" s="308">
        <f t="shared" si="6"/>
        <v>4946566.4201999996</v>
      </c>
    </row>
    <row r="59" spans="1:11" ht="18" customHeight="1" x14ac:dyDescent="0.4">
      <c r="A59" s="1" t="s">
        <v>98</v>
      </c>
      <c r="B59" s="652" t="s">
        <v>313</v>
      </c>
      <c r="C59" s="653"/>
      <c r="D59" s="654"/>
      <c r="F59" s="306"/>
      <c r="G59" s="306"/>
      <c r="H59" s="307">
        <v>9838030</v>
      </c>
      <c r="I59" s="115">
        <f t="shared" si="7"/>
        <v>7254563.3220000006</v>
      </c>
      <c r="J59" s="307">
        <v>5881040</v>
      </c>
      <c r="K59" s="308">
        <f t="shared" si="6"/>
        <v>11211553.322000001</v>
      </c>
    </row>
    <row r="60" spans="1:11" ht="18" customHeight="1" x14ac:dyDescent="0.4">
      <c r="A60" s="1" t="s">
        <v>99</v>
      </c>
      <c r="B60" s="400"/>
      <c r="C60" s="401"/>
      <c r="D60" s="402"/>
      <c r="F60" s="306"/>
      <c r="G60" s="306"/>
      <c r="H60" s="307"/>
      <c r="I60" s="115">
        <v>0</v>
      </c>
      <c r="J60" s="307"/>
      <c r="K60" s="308">
        <f t="shared" si="6"/>
        <v>0</v>
      </c>
    </row>
    <row r="61" spans="1:11" ht="18" customHeight="1" x14ac:dyDescent="0.4">
      <c r="A61" s="1" t="s">
        <v>100</v>
      </c>
      <c r="B61" s="400"/>
      <c r="C61" s="401"/>
      <c r="D61" s="402"/>
      <c r="F61" s="306"/>
      <c r="G61" s="306"/>
      <c r="H61" s="307"/>
      <c r="I61" s="115">
        <v>0</v>
      </c>
      <c r="J61" s="307"/>
      <c r="K61" s="308">
        <f t="shared" si="6"/>
        <v>0</v>
      </c>
    </row>
    <row r="62" spans="1:11" ht="18" customHeight="1" x14ac:dyDescent="0.4">
      <c r="A62" s="1" t="s">
        <v>101</v>
      </c>
      <c r="B62" s="655"/>
      <c r="C62" s="653"/>
      <c r="D62" s="654"/>
      <c r="F62" s="306"/>
      <c r="G62" s="306"/>
      <c r="H62" s="307"/>
      <c r="I62" s="115">
        <v>0</v>
      </c>
      <c r="J62" s="307"/>
      <c r="K62" s="308">
        <f t="shared" si="6"/>
        <v>0</v>
      </c>
    </row>
    <row r="63" spans="1:11" ht="18" customHeight="1" x14ac:dyDescent="0.4">
      <c r="A63" s="1"/>
      <c r="I63" s="403"/>
    </row>
    <row r="64" spans="1:11" ht="18" customHeight="1" x14ac:dyDescent="0.4">
      <c r="A64" s="1" t="s">
        <v>144</v>
      </c>
      <c r="B64" s="95" t="s">
        <v>145</v>
      </c>
      <c r="E64" s="95" t="s">
        <v>7</v>
      </c>
      <c r="F64" s="310">
        <f t="shared" ref="F64:K64" si="8">SUM(F53:F62)</f>
        <v>0</v>
      </c>
      <c r="G64" s="310">
        <f t="shared" si="8"/>
        <v>0</v>
      </c>
      <c r="H64" s="308">
        <f t="shared" si="8"/>
        <v>22706438</v>
      </c>
      <c r="I64" s="308">
        <f t="shared" si="8"/>
        <v>10331676.7422</v>
      </c>
      <c r="J64" s="308">
        <f t="shared" si="8"/>
        <v>8184510</v>
      </c>
      <c r="K64" s="308">
        <f t="shared" si="8"/>
        <v>24853604.742200002</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105">
        <v>1311570</v>
      </c>
      <c r="I68" s="115">
        <f t="shared" ref="I68:I70" si="9">H68*F$114</f>
        <v>967151.71800000011</v>
      </c>
      <c r="J68" s="307">
        <v>594945</v>
      </c>
      <c r="K68" s="308">
        <f>(H68+I68)-J68</f>
        <v>1683776.7180000003</v>
      </c>
    </row>
    <row r="69" spans="1:11" ht="18" customHeight="1" x14ac:dyDescent="0.4">
      <c r="A69" s="1" t="s">
        <v>104</v>
      </c>
      <c r="B69" s="94" t="s">
        <v>53</v>
      </c>
      <c r="F69" s="313">
        <v>18647</v>
      </c>
      <c r="G69" s="313"/>
      <c r="H69" s="105">
        <v>951878</v>
      </c>
      <c r="I69" s="115">
        <f t="shared" si="9"/>
        <v>701914.83720000007</v>
      </c>
      <c r="J69" s="313"/>
      <c r="K69" s="308">
        <f>(H69+I69)-J69</f>
        <v>1653792.8372</v>
      </c>
    </row>
    <row r="70" spans="1:11" ht="18" customHeight="1" x14ac:dyDescent="0.4">
      <c r="A70" s="1" t="s">
        <v>178</v>
      </c>
      <c r="B70" s="400" t="s">
        <v>280</v>
      </c>
      <c r="C70" s="401"/>
      <c r="D70" s="402"/>
      <c r="E70" s="95"/>
      <c r="F70" s="104"/>
      <c r="G70" s="104"/>
      <c r="H70" s="105">
        <v>353971</v>
      </c>
      <c r="I70" s="115">
        <f t="shared" si="9"/>
        <v>261018.21540000002</v>
      </c>
      <c r="J70" s="105"/>
      <c r="K70" s="308">
        <f>(H70+I70)-J70</f>
        <v>614989.21539999999</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10">SUM(F68:F72)</f>
        <v>18647</v>
      </c>
      <c r="G74" s="411">
        <f t="shared" si="10"/>
        <v>0</v>
      </c>
      <c r="H74" s="412">
        <f t="shared" si="10"/>
        <v>2617419</v>
      </c>
      <c r="I74" s="412">
        <f t="shared" si="10"/>
        <v>1930084.7706000004</v>
      </c>
      <c r="J74" s="412">
        <f t="shared" si="10"/>
        <v>594945</v>
      </c>
      <c r="K74" s="308">
        <f t="shared" si="10"/>
        <v>3952558.7706000004</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426216</v>
      </c>
      <c r="I77" s="115">
        <v>0</v>
      </c>
      <c r="J77" s="307"/>
      <c r="K77" s="308">
        <f>(H77+I77)-J77</f>
        <v>426216</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23</v>
      </c>
      <c r="G79" s="306">
        <v>253</v>
      </c>
      <c r="H79" s="307">
        <v>207572</v>
      </c>
      <c r="I79" s="115">
        <v>0</v>
      </c>
      <c r="J79" s="307"/>
      <c r="K79" s="308">
        <f>(H79+I79)-J79</f>
        <v>207572</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1">SUM(F77:F80)</f>
        <v>23</v>
      </c>
      <c r="G82" s="411">
        <f t="shared" si="11"/>
        <v>253</v>
      </c>
      <c r="H82" s="308">
        <f t="shared" si="11"/>
        <v>633788</v>
      </c>
      <c r="I82" s="308">
        <f t="shared" si="11"/>
        <v>0</v>
      </c>
      <c r="J82" s="308">
        <f t="shared" si="11"/>
        <v>0</v>
      </c>
      <c r="K82" s="308">
        <f t="shared" si="11"/>
        <v>633788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1134</v>
      </c>
      <c r="G86" s="306">
        <v>0</v>
      </c>
      <c r="H86" s="307">
        <v>55877</v>
      </c>
      <c r="I86" s="115">
        <f t="shared" ref="I86:I96" si="12">H86*F$114</f>
        <v>41203.699800000002</v>
      </c>
      <c r="J86" s="307">
        <v>55723</v>
      </c>
      <c r="K86" s="308">
        <f t="shared" ref="K86:K96" si="13">(H86+I86)-J86</f>
        <v>41357.699800000002</v>
      </c>
    </row>
    <row r="87" spans="1:11" ht="18" customHeight="1" x14ac:dyDescent="0.4">
      <c r="A87" s="1" t="s">
        <v>114</v>
      </c>
      <c r="B87" s="94" t="s">
        <v>14</v>
      </c>
      <c r="F87" s="306"/>
      <c r="G87" s="306"/>
      <c r="H87" s="307"/>
      <c r="I87" s="115">
        <f t="shared" si="12"/>
        <v>0</v>
      </c>
      <c r="J87" s="307"/>
      <c r="K87" s="308">
        <f t="shared" si="13"/>
        <v>0</v>
      </c>
    </row>
    <row r="88" spans="1:11" ht="18" customHeight="1" x14ac:dyDescent="0.4">
      <c r="A88" s="1" t="s">
        <v>115</v>
      </c>
      <c r="B88" s="94" t="s">
        <v>116</v>
      </c>
      <c r="F88" s="306">
        <v>6012</v>
      </c>
      <c r="G88" s="306"/>
      <c r="H88" s="307">
        <v>375779</v>
      </c>
      <c r="I88" s="115">
        <f t="shared" si="12"/>
        <v>277099.43460000004</v>
      </c>
      <c r="J88" s="307">
        <v>456555</v>
      </c>
      <c r="K88" s="308">
        <f t="shared" si="13"/>
        <v>196323.43460000004</v>
      </c>
    </row>
    <row r="89" spans="1:11" ht="18" customHeight="1" x14ac:dyDescent="0.4">
      <c r="A89" s="1" t="s">
        <v>117</v>
      </c>
      <c r="B89" s="94" t="s">
        <v>58</v>
      </c>
      <c r="F89" s="306"/>
      <c r="G89" s="306"/>
      <c r="H89" s="307"/>
      <c r="I89" s="115">
        <f t="shared" si="12"/>
        <v>0</v>
      </c>
      <c r="J89" s="307"/>
      <c r="K89" s="308">
        <f t="shared" si="13"/>
        <v>0</v>
      </c>
    </row>
    <row r="90" spans="1:11" ht="18" customHeight="1" x14ac:dyDescent="0.4">
      <c r="A90" s="1" t="s">
        <v>118</v>
      </c>
      <c r="B90" s="635" t="s">
        <v>59</v>
      </c>
      <c r="C90" s="636"/>
      <c r="F90" s="306"/>
      <c r="G90" s="306"/>
      <c r="H90" s="307"/>
      <c r="I90" s="115">
        <f t="shared" si="12"/>
        <v>0</v>
      </c>
      <c r="J90" s="307"/>
      <c r="K90" s="308">
        <f t="shared" si="13"/>
        <v>0</v>
      </c>
    </row>
    <row r="91" spans="1:11" ht="18" customHeight="1" x14ac:dyDescent="0.4">
      <c r="A91" s="1" t="s">
        <v>119</v>
      </c>
      <c r="B91" s="94" t="s">
        <v>60</v>
      </c>
      <c r="F91" s="306">
        <v>973</v>
      </c>
      <c r="G91" s="306">
        <v>139</v>
      </c>
      <c r="H91" s="307">
        <v>91436</v>
      </c>
      <c r="I91" s="115">
        <f t="shared" si="12"/>
        <v>67424.906400000007</v>
      </c>
      <c r="J91" s="307">
        <v>91638</v>
      </c>
      <c r="K91" s="308">
        <f t="shared" si="13"/>
        <v>67222.906400000007</v>
      </c>
    </row>
    <row r="92" spans="1:11" ht="18" customHeight="1" x14ac:dyDescent="0.4">
      <c r="A92" s="1" t="s">
        <v>120</v>
      </c>
      <c r="B92" s="94" t="s">
        <v>121</v>
      </c>
      <c r="F92" s="107"/>
      <c r="G92" s="107"/>
      <c r="H92" s="108"/>
      <c r="I92" s="115">
        <f t="shared" si="12"/>
        <v>0</v>
      </c>
      <c r="J92" s="108"/>
      <c r="K92" s="308">
        <f t="shared" si="13"/>
        <v>0</v>
      </c>
    </row>
    <row r="93" spans="1:11" ht="18" customHeight="1" x14ac:dyDescent="0.4">
      <c r="A93" s="1" t="s">
        <v>122</v>
      </c>
      <c r="B93" s="94" t="s">
        <v>123</v>
      </c>
      <c r="F93" s="306">
        <v>15912</v>
      </c>
      <c r="G93" s="306">
        <v>1920</v>
      </c>
      <c r="H93" s="307">
        <v>628605</v>
      </c>
      <c r="I93" s="115">
        <f t="shared" si="12"/>
        <v>463533.32700000005</v>
      </c>
      <c r="J93" s="307">
        <v>268599</v>
      </c>
      <c r="K93" s="308">
        <f t="shared" si="13"/>
        <v>823539.32700000005</v>
      </c>
    </row>
    <row r="94" spans="1:11" ht="18" customHeight="1" x14ac:dyDescent="0.4">
      <c r="A94" s="1" t="s">
        <v>124</v>
      </c>
      <c r="B94" s="655"/>
      <c r="C94" s="653"/>
      <c r="D94" s="654"/>
      <c r="F94" s="306"/>
      <c r="G94" s="306"/>
      <c r="H94" s="307"/>
      <c r="I94" s="115">
        <f t="shared" si="12"/>
        <v>0</v>
      </c>
      <c r="J94" s="307"/>
      <c r="K94" s="308">
        <f t="shared" si="13"/>
        <v>0</v>
      </c>
    </row>
    <row r="95" spans="1:11" ht="18" customHeight="1" x14ac:dyDescent="0.4">
      <c r="A95" s="1" t="s">
        <v>125</v>
      </c>
      <c r="B95" s="655"/>
      <c r="C95" s="653"/>
      <c r="D95" s="654"/>
      <c r="F95" s="306"/>
      <c r="G95" s="306"/>
      <c r="H95" s="307"/>
      <c r="I95" s="115">
        <f t="shared" si="12"/>
        <v>0</v>
      </c>
      <c r="J95" s="307"/>
      <c r="K95" s="308">
        <f t="shared" si="13"/>
        <v>0</v>
      </c>
    </row>
    <row r="96" spans="1:11" ht="18" customHeight="1" x14ac:dyDescent="0.4">
      <c r="A96" s="1" t="s">
        <v>126</v>
      </c>
      <c r="B96" s="655"/>
      <c r="C96" s="653"/>
      <c r="D96" s="654"/>
      <c r="F96" s="306"/>
      <c r="G96" s="306"/>
      <c r="H96" s="307"/>
      <c r="I96" s="115">
        <f t="shared" si="12"/>
        <v>0</v>
      </c>
      <c r="J96" s="307"/>
      <c r="K96" s="308">
        <f t="shared" si="13"/>
        <v>0</v>
      </c>
    </row>
    <row r="97" spans="1:11" ht="18" customHeight="1" x14ac:dyDescent="0.4">
      <c r="A97" s="1"/>
      <c r="B97" s="94"/>
    </row>
    <row r="98" spans="1:11" ht="18" customHeight="1" x14ac:dyDescent="0.4">
      <c r="A98" s="98" t="s">
        <v>150</v>
      </c>
      <c r="B98" s="95" t="s">
        <v>151</v>
      </c>
      <c r="E98" s="95" t="s">
        <v>7</v>
      </c>
      <c r="F98" s="310">
        <f t="shared" ref="F98:K98" si="14">SUM(F86:F96)</f>
        <v>24031</v>
      </c>
      <c r="G98" s="310">
        <f t="shared" si="14"/>
        <v>2059</v>
      </c>
      <c r="H98" s="310">
        <f t="shared" si="14"/>
        <v>1151697</v>
      </c>
      <c r="I98" s="310">
        <f t="shared" si="14"/>
        <v>849261.36780000012</v>
      </c>
      <c r="J98" s="310">
        <f t="shared" si="14"/>
        <v>872515</v>
      </c>
      <c r="K98" s="310">
        <f t="shared" si="14"/>
        <v>1128443.3678000001</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14877</v>
      </c>
      <c r="G102" s="306"/>
      <c r="H102" s="307">
        <v>609434</v>
      </c>
      <c r="I102" s="115">
        <f>H102*F$114</f>
        <v>449396.63160000002</v>
      </c>
      <c r="J102" s="307"/>
      <c r="K102" s="308">
        <f>(H102+I102)-J102</f>
        <v>1058830.6316</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5">SUM(F102:F106)</f>
        <v>14877</v>
      </c>
      <c r="G108" s="310">
        <f t="shared" si="15"/>
        <v>0</v>
      </c>
      <c r="H108" s="308">
        <f t="shared" si="15"/>
        <v>609434</v>
      </c>
      <c r="I108" s="308">
        <f t="shared" si="15"/>
        <v>449396.63160000002</v>
      </c>
      <c r="J108" s="308">
        <f t="shared" si="15"/>
        <v>0</v>
      </c>
      <c r="K108" s="308">
        <f t="shared" si="15"/>
        <v>1058830.6316</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f>1827365+3308569+49240+1160593</f>
        <v>6345767</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0.73740000000000006</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773091000</v>
      </c>
    </row>
    <row r="118" spans="1:6" ht="18" customHeight="1" x14ac:dyDescent="0.4">
      <c r="A118" s="1" t="s">
        <v>173</v>
      </c>
      <c r="B118" t="s">
        <v>18</v>
      </c>
      <c r="F118" s="307">
        <f>3508000+50415000</f>
        <v>53923000</v>
      </c>
    </row>
    <row r="119" spans="1:6" ht="18" customHeight="1" x14ac:dyDescent="0.4">
      <c r="A119" s="1" t="s">
        <v>174</v>
      </c>
      <c r="B119" s="95" t="s">
        <v>19</v>
      </c>
      <c r="F119" s="308">
        <f>SUM(F117:F118)</f>
        <v>827014000</v>
      </c>
    </row>
    <row r="120" spans="1:6" ht="18" customHeight="1" x14ac:dyDescent="0.4">
      <c r="A120" s="1"/>
      <c r="B120" s="95"/>
    </row>
    <row r="121" spans="1:6" ht="18" customHeight="1" x14ac:dyDescent="0.4">
      <c r="A121" s="1" t="s">
        <v>167</v>
      </c>
      <c r="B121" s="95" t="s">
        <v>36</v>
      </c>
      <c r="F121" s="307">
        <v>791568000</v>
      </c>
    </row>
    <row r="122" spans="1:6" ht="18" customHeight="1" x14ac:dyDescent="0.4">
      <c r="A122" s="1"/>
    </row>
    <row r="123" spans="1:6" ht="18" customHeight="1" x14ac:dyDescent="0.4">
      <c r="A123" s="1" t="s">
        <v>175</v>
      </c>
      <c r="B123" s="95" t="s">
        <v>20</v>
      </c>
      <c r="F123" s="307">
        <f>+F119-F121</f>
        <v>35446000</v>
      </c>
    </row>
    <row r="124" spans="1:6" ht="18" customHeight="1" x14ac:dyDescent="0.4">
      <c r="A124" s="1"/>
    </row>
    <row r="125" spans="1:6" ht="18" customHeight="1" x14ac:dyDescent="0.4">
      <c r="A125" s="1" t="s">
        <v>176</v>
      </c>
      <c r="B125" s="95" t="s">
        <v>21</v>
      </c>
      <c r="F125" s="307">
        <v>19817000</v>
      </c>
    </row>
    <row r="126" spans="1:6" ht="18" customHeight="1" x14ac:dyDescent="0.4">
      <c r="A126" s="1"/>
    </row>
    <row r="127" spans="1:6" ht="18" customHeight="1" x14ac:dyDescent="0.4">
      <c r="A127" s="1" t="s">
        <v>177</v>
      </c>
      <c r="B127" s="95" t="s">
        <v>22</v>
      </c>
      <c r="F127" s="307">
        <f>+F123+F125</f>
        <v>55263000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6">SUM(F131:F135)</f>
        <v>0</v>
      </c>
      <c r="G137" s="310">
        <f t="shared" si="16"/>
        <v>0</v>
      </c>
      <c r="H137" s="308">
        <f t="shared" si="16"/>
        <v>0</v>
      </c>
      <c r="I137" s="308">
        <f t="shared" si="16"/>
        <v>0</v>
      </c>
      <c r="J137" s="308">
        <f t="shared" si="16"/>
        <v>0</v>
      </c>
      <c r="K137" s="308">
        <f t="shared" si="16"/>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7">F36</f>
        <v>57485</v>
      </c>
      <c r="G141" s="109">
        <f t="shared" si="17"/>
        <v>19161</v>
      </c>
      <c r="H141" s="109">
        <f t="shared" si="17"/>
        <v>2975364</v>
      </c>
      <c r="I141" s="109">
        <f t="shared" si="17"/>
        <v>2194033.4136000006</v>
      </c>
      <c r="J141" s="109">
        <f t="shared" si="17"/>
        <v>1692164</v>
      </c>
      <c r="K141" s="109">
        <f t="shared" si="17"/>
        <v>3477233.4136000006</v>
      </c>
    </row>
    <row r="142" spans="1:11" ht="18" customHeight="1" x14ac:dyDescent="0.4">
      <c r="A142" s="1" t="s">
        <v>142</v>
      </c>
      <c r="B142" s="95" t="s">
        <v>65</v>
      </c>
      <c r="F142" s="109">
        <f t="shared" ref="F142:K142" si="18">F49</f>
        <v>381304</v>
      </c>
      <c r="G142" s="109">
        <f t="shared" si="18"/>
        <v>311</v>
      </c>
      <c r="H142" s="109">
        <f t="shared" si="18"/>
        <v>17046810</v>
      </c>
      <c r="I142" s="109">
        <f t="shared" si="18"/>
        <v>12570317.694</v>
      </c>
      <c r="J142" s="109">
        <f t="shared" si="18"/>
        <v>102316</v>
      </c>
      <c r="K142" s="109">
        <f t="shared" si="18"/>
        <v>29514811.693999998</v>
      </c>
    </row>
    <row r="143" spans="1:11" ht="18" customHeight="1" x14ac:dyDescent="0.4">
      <c r="A143" s="1" t="s">
        <v>144</v>
      </c>
      <c r="B143" s="95" t="s">
        <v>66</v>
      </c>
      <c r="F143" s="109">
        <f t="shared" ref="F143:K143" si="19">F64</f>
        <v>0</v>
      </c>
      <c r="G143" s="109">
        <f t="shared" si="19"/>
        <v>0</v>
      </c>
      <c r="H143" s="109">
        <f t="shared" si="19"/>
        <v>22706438</v>
      </c>
      <c r="I143" s="109">
        <f t="shared" si="19"/>
        <v>10331676.7422</v>
      </c>
      <c r="J143" s="109">
        <f t="shared" si="19"/>
        <v>8184510</v>
      </c>
      <c r="K143" s="109">
        <f t="shared" si="19"/>
        <v>24853604.742200002</v>
      </c>
    </row>
    <row r="144" spans="1:11" ht="18" customHeight="1" x14ac:dyDescent="0.4">
      <c r="A144" s="1" t="s">
        <v>146</v>
      </c>
      <c r="B144" s="95" t="s">
        <v>67</v>
      </c>
      <c r="F144" s="109">
        <f t="shared" ref="F144:K144" si="20">F74</f>
        <v>18647</v>
      </c>
      <c r="G144" s="109">
        <f t="shared" si="20"/>
        <v>0</v>
      </c>
      <c r="H144" s="109">
        <f t="shared" si="20"/>
        <v>2617419</v>
      </c>
      <c r="I144" s="109">
        <f t="shared" si="20"/>
        <v>1930084.7706000004</v>
      </c>
      <c r="J144" s="109">
        <f t="shared" si="20"/>
        <v>594945</v>
      </c>
      <c r="K144" s="109">
        <f t="shared" si="20"/>
        <v>3952558.7706000004</v>
      </c>
    </row>
    <row r="145" spans="1:11" ht="18" customHeight="1" x14ac:dyDescent="0.4">
      <c r="A145" s="1" t="s">
        <v>148</v>
      </c>
      <c r="B145" s="95" t="s">
        <v>68</v>
      </c>
      <c r="F145" s="109">
        <f t="shared" ref="F145:K145" si="21">F82</f>
        <v>23</v>
      </c>
      <c r="G145" s="109">
        <f t="shared" si="21"/>
        <v>253</v>
      </c>
      <c r="H145" s="109">
        <f t="shared" si="21"/>
        <v>633788</v>
      </c>
      <c r="I145" s="109">
        <f t="shared" si="21"/>
        <v>0</v>
      </c>
      <c r="J145" s="109">
        <f t="shared" si="21"/>
        <v>0</v>
      </c>
      <c r="K145" s="109">
        <f t="shared" si="21"/>
        <v>633788</v>
      </c>
    </row>
    <row r="146" spans="1:11" ht="18" customHeight="1" x14ac:dyDescent="0.4">
      <c r="A146" s="1" t="s">
        <v>150</v>
      </c>
      <c r="B146" s="95" t="s">
        <v>69</v>
      </c>
      <c r="F146" s="109">
        <f t="shared" ref="F146:K146" si="22">F98</f>
        <v>24031</v>
      </c>
      <c r="G146" s="109">
        <f t="shared" si="22"/>
        <v>2059</v>
      </c>
      <c r="H146" s="109">
        <f t="shared" si="22"/>
        <v>1151697</v>
      </c>
      <c r="I146" s="109">
        <f t="shared" si="22"/>
        <v>849261.36780000012</v>
      </c>
      <c r="J146" s="109">
        <f t="shared" si="22"/>
        <v>872515</v>
      </c>
      <c r="K146" s="109">
        <f t="shared" si="22"/>
        <v>1128443.3678000001</v>
      </c>
    </row>
    <row r="147" spans="1:11" ht="18" customHeight="1" x14ac:dyDescent="0.4">
      <c r="A147" s="1" t="s">
        <v>153</v>
      </c>
      <c r="B147" s="95" t="s">
        <v>61</v>
      </c>
      <c r="F147" s="310">
        <f t="shared" ref="F147:K147" si="23">F108</f>
        <v>14877</v>
      </c>
      <c r="G147" s="310">
        <f t="shared" si="23"/>
        <v>0</v>
      </c>
      <c r="H147" s="310">
        <f t="shared" si="23"/>
        <v>609434</v>
      </c>
      <c r="I147" s="310">
        <f t="shared" si="23"/>
        <v>449396.63160000002</v>
      </c>
      <c r="J147" s="310">
        <f t="shared" si="23"/>
        <v>0</v>
      </c>
      <c r="K147" s="310">
        <f t="shared" si="23"/>
        <v>1058830.6316</v>
      </c>
    </row>
    <row r="148" spans="1:11" ht="18" customHeight="1" x14ac:dyDescent="0.4">
      <c r="A148" s="1" t="s">
        <v>155</v>
      </c>
      <c r="B148" s="95" t="s">
        <v>70</v>
      </c>
      <c r="F148" s="110" t="s">
        <v>73</v>
      </c>
      <c r="G148" s="110" t="s">
        <v>73</v>
      </c>
      <c r="H148" s="111" t="s">
        <v>73</v>
      </c>
      <c r="I148" s="111" t="s">
        <v>73</v>
      </c>
      <c r="J148" s="111" t="s">
        <v>73</v>
      </c>
      <c r="K148" s="106">
        <f>F111</f>
        <v>6345767</v>
      </c>
    </row>
    <row r="149" spans="1:11" ht="18" customHeight="1" x14ac:dyDescent="0.4">
      <c r="A149" s="1" t="s">
        <v>163</v>
      </c>
      <c r="B149" s="95" t="s">
        <v>71</v>
      </c>
      <c r="F149" s="310">
        <f t="shared" ref="F149:K149" si="24">F137</f>
        <v>0</v>
      </c>
      <c r="G149" s="310">
        <f t="shared" si="24"/>
        <v>0</v>
      </c>
      <c r="H149" s="310">
        <f t="shared" si="24"/>
        <v>0</v>
      </c>
      <c r="I149" s="310">
        <f t="shared" si="24"/>
        <v>0</v>
      </c>
      <c r="J149" s="310">
        <f t="shared" si="24"/>
        <v>0</v>
      </c>
      <c r="K149" s="310">
        <f t="shared" si="24"/>
        <v>0</v>
      </c>
    </row>
    <row r="150" spans="1:11" ht="18" customHeight="1" x14ac:dyDescent="0.4">
      <c r="A150" s="1" t="s">
        <v>185</v>
      </c>
      <c r="B150" s="95" t="s">
        <v>186</v>
      </c>
      <c r="F150" s="110" t="s">
        <v>73</v>
      </c>
      <c r="G150" s="110" t="s">
        <v>73</v>
      </c>
      <c r="H150" s="310">
        <f>H18</f>
        <v>15831811.01</v>
      </c>
      <c r="I150" s="310">
        <f>I18</f>
        <v>0</v>
      </c>
      <c r="J150" s="310">
        <f>J18</f>
        <v>13120932.449999999</v>
      </c>
      <c r="K150" s="310">
        <f>K18</f>
        <v>2710878.5600000005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5">SUM(F141:F150)</f>
        <v>496367</v>
      </c>
      <c r="G152" s="114">
        <f t="shared" si="25"/>
        <v>21784</v>
      </c>
      <c r="H152" s="114">
        <f t="shared" si="25"/>
        <v>63572761.009999998</v>
      </c>
      <c r="I152" s="114">
        <f t="shared" si="25"/>
        <v>28324770.619799998</v>
      </c>
      <c r="J152" s="114">
        <f t="shared" si="25"/>
        <v>24567382.449999999</v>
      </c>
      <c r="K152" s="114">
        <f t="shared" si="25"/>
        <v>73675916.179800004</v>
      </c>
    </row>
    <row r="153" spans="1:11" ht="18" customHeight="1" x14ac:dyDescent="0.4">
      <c r="G153" s="189">
        <f>21784-G152</f>
        <v>0</v>
      </c>
    </row>
    <row r="154" spans="1:11" ht="18" customHeight="1" x14ac:dyDescent="0.4">
      <c r="A154" s="98" t="s">
        <v>168</v>
      </c>
      <c r="B154" s="95" t="s">
        <v>28</v>
      </c>
      <c r="F154" s="318">
        <f>K152/F121</f>
        <v>9.3075915372779094E-2</v>
      </c>
    </row>
    <row r="155" spans="1:11" ht="18" customHeight="1" x14ac:dyDescent="0.4">
      <c r="A155" s="98" t="s">
        <v>169</v>
      </c>
      <c r="B155" s="95" t="s">
        <v>72</v>
      </c>
      <c r="F155" s="318">
        <f>K152/F127</f>
        <v>1.3331870542641551</v>
      </c>
      <c r="G155" s="95"/>
    </row>
    <row r="156" spans="1:11" ht="18" customHeight="1" x14ac:dyDescent="0.4">
      <c r="G156" s="95"/>
    </row>
  </sheetData>
  <mergeCells count="34">
    <mergeCell ref="D2:H2"/>
    <mergeCell ref="B103:C103"/>
    <mergeCell ref="B96:D96"/>
    <mergeCell ref="B95:D95"/>
    <mergeCell ref="B57:D57"/>
    <mergeCell ref="B94:D94"/>
    <mergeCell ref="B52:C52"/>
    <mergeCell ref="B90:C90"/>
    <mergeCell ref="B53:D53"/>
    <mergeCell ref="B55:D55"/>
    <mergeCell ref="B56:D56"/>
    <mergeCell ref="B59:D59"/>
    <mergeCell ref="B62:D62"/>
    <mergeCell ref="B45:D45"/>
    <mergeCell ref="B46:D46"/>
    <mergeCell ref="B47:D47"/>
    <mergeCell ref="B134:D134"/>
    <mergeCell ref="B135:D135"/>
    <mergeCell ref="B133:D133"/>
    <mergeCell ref="B104:D104"/>
    <mergeCell ref="B105:D105"/>
    <mergeCell ref="B106:D106"/>
    <mergeCell ref="B34:D34"/>
    <mergeCell ref="C11:G11"/>
    <mergeCell ref="B41:C41"/>
    <mergeCell ref="B44:D44"/>
    <mergeCell ref="B13:H13"/>
    <mergeCell ref="B30:D30"/>
    <mergeCell ref="B31:D31"/>
    <mergeCell ref="C5:G5"/>
    <mergeCell ref="C6:G6"/>
    <mergeCell ref="C7:G7"/>
    <mergeCell ref="C9:G9"/>
    <mergeCell ref="C10:G10"/>
  </mergeCells>
  <hyperlinks>
    <hyperlink ref="C11" r:id="rId1" xr:uid="{DD4A716D-4D88-45BE-8EFF-51752D998B8A}"/>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K156"/>
  <sheetViews>
    <sheetView showGridLines="0" topLeftCell="A136" zoomScale="85" zoomScaleNormal="85" zoomScaleSheetLayoutView="70" workbookViewId="0">
      <selection activeCell="K152" sqref="K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695</v>
      </c>
      <c r="D5" s="666"/>
      <c r="E5" s="666"/>
      <c r="F5" s="666"/>
      <c r="G5" s="667"/>
    </row>
    <row r="6" spans="1:11" ht="18" customHeight="1" x14ac:dyDescent="0.4">
      <c r="B6" s="1" t="s">
        <v>3</v>
      </c>
      <c r="C6" s="668">
        <v>13</v>
      </c>
      <c r="D6" s="669"/>
      <c r="E6" s="669"/>
      <c r="F6" s="669"/>
      <c r="G6" s="670"/>
    </row>
    <row r="7" spans="1:11" ht="18" customHeight="1" x14ac:dyDescent="0.4">
      <c r="B7" s="1" t="s">
        <v>4</v>
      </c>
      <c r="C7" s="689">
        <v>567</v>
      </c>
      <c r="D7" s="690"/>
      <c r="E7" s="690"/>
      <c r="F7" s="690"/>
      <c r="G7" s="691"/>
    </row>
    <row r="9" spans="1:11" ht="18" customHeight="1" x14ac:dyDescent="0.4">
      <c r="B9" s="1" t="s">
        <v>1</v>
      </c>
      <c r="C9" s="731" t="s">
        <v>292</v>
      </c>
      <c r="D9" s="666"/>
      <c r="E9" s="666"/>
      <c r="F9" s="666"/>
      <c r="G9" s="667"/>
    </row>
    <row r="10" spans="1:11" ht="18" customHeight="1" x14ac:dyDescent="0.4">
      <c r="B10" s="1" t="s">
        <v>2</v>
      </c>
      <c r="C10" s="733" t="s">
        <v>293</v>
      </c>
      <c r="D10" s="661"/>
      <c r="E10" s="661"/>
      <c r="F10" s="661"/>
      <c r="G10" s="662"/>
    </row>
    <row r="11" spans="1:11" ht="18" customHeight="1" x14ac:dyDescent="0.4">
      <c r="B11" s="1" t="s">
        <v>32</v>
      </c>
      <c r="C11" s="682" t="s">
        <v>294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866476.87</v>
      </c>
      <c r="I18" s="115">
        <v>0</v>
      </c>
      <c r="J18" s="307">
        <v>718110.17</v>
      </c>
      <c r="K18" s="308">
        <f>(H18+I18)-J18</f>
        <v>148366.69999999995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c r="G21" s="306"/>
      <c r="H21" s="307">
        <v>208524</v>
      </c>
      <c r="I21" s="115">
        <f t="shared" ref="I21:I34" si="0">H21*F$114</f>
        <v>162836.3916</v>
      </c>
      <c r="J21" s="307"/>
      <c r="K21" s="308">
        <f t="shared" ref="K21:K34" si="1">(H21+I21)-J21</f>
        <v>371360.39159999997</v>
      </c>
    </row>
    <row r="22" spans="1:11" ht="18" customHeight="1" x14ac:dyDescent="0.4">
      <c r="A22" s="1" t="s">
        <v>76</v>
      </c>
      <c r="B22" t="s">
        <v>6</v>
      </c>
      <c r="F22" s="306"/>
      <c r="G22" s="306"/>
      <c r="H22" s="307"/>
      <c r="I22" s="115">
        <f t="shared" si="0"/>
        <v>0</v>
      </c>
      <c r="J22" s="307"/>
      <c r="K22" s="308">
        <f t="shared" si="1"/>
        <v>0</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v>135438</v>
      </c>
      <c r="I24" s="115">
        <f t="shared" si="0"/>
        <v>105763.53420000001</v>
      </c>
      <c r="J24" s="307">
        <v>91746</v>
      </c>
      <c r="K24" s="308">
        <f t="shared" si="1"/>
        <v>149455.53419999999</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c r="G29" s="306"/>
      <c r="H29" s="307"/>
      <c r="I29" s="115">
        <f t="shared" si="0"/>
        <v>0</v>
      </c>
      <c r="J29" s="307"/>
      <c r="K29" s="308">
        <f t="shared" si="1"/>
        <v>0</v>
      </c>
    </row>
    <row r="30" spans="1:11" ht="18" customHeight="1" x14ac:dyDescent="0.4">
      <c r="A30" s="1" t="s">
        <v>84</v>
      </c>
      <c r="B30" s="630" t="s">
        <v>696</v>
      </c>
      <c r="C30" s="631"/>
      <c r="D30" s="632"/>
      <c r="F30" s="306"/>
      <c r="G30" s="306"/>
      <c r="H30" s="307">
        <v>84003</v>
      </c>
      <c r="I30" s="115">
        <f t="shared" si="0"/>
        <v>65597.9427</v>
      </c>
      <c r="J30" s="307"/>
      <c r="K30" s="308">
        <f t="shared" si="1"/>
        <v>149600.94270000001</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0</v>
      </c>
      <c r="G36" s="310">
        <f t="shared" si="2"/>
        <v>0</v>
      </c>
      <c r="H36" s="310">
        <f t="shared" si="2"/>
        <v>427965</v>
      </c>
      <c r="I36" s="308">
        <f t="shared" si="2"/>
        <v>334197.86850000004</v>
      </c>
      <c r="J36" s="308">
        <f t="shared" si="2"/>
        <v>91746</v>
      </c>
      <c r="K36" s="308">
        <f t="shared" si="2"/>
        <v>670416.86849999998</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c r="G42" s="306"/>
      <c r="H42" s="307">
        <v>99987</v>
      </c>
      <c r="I42" s="115">
        <f t="shared" ref="I42" si="4">H42*F$114</f>
        <v>78079.848299999998</v>
      </c>
      <c r="J42" s="307"/>
      <c r="K42" s="308">
        <f t="shared" si="3"/>
        <v>178066.84830000001</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5">SUM(F40:F47)</f>
        <v>0</v>
      </c>
      <c r="G49" s="312">
        <f t="shared" si="5"/>
        <v>0</v>
      </c>
      <c r="H49" s="308">
        <f t="shared" si="5"/>
        <v>99987</v>
      </c>
      <c r="I49" s="308">
        <f t="shared" si="5"/>
        <v>78079.848299999998</v>
      </c>
      <c r="J49" s="308">
        <f t="shared" si="5"/>
        <v>0</v>
      </c>
      <c r="K49" s="308">
        <f t="shared" si="5"/>
        <v>178066.84830000001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697</v>
      </c>
      <c r="C53" s="659"/>
      <c r="D53" s="654"/>
      <c r="F53" s="306"/>
      <c r="G53" s="306"/>
      <c r="H53" s="307">
        <v>6024515</v>
      </c>
      <c r="I53" s="115">
        <f t="shared" ref="I53" si="6">H53*F$114</f>
        <v>4704543.7635000004</v>
      </c>
      <c r="J53" s="307">
        <v>5607915</v>
      </c>
      <c r="K53" s="308">
        <f t="shared" ref="K53:K62" si="7">(H53+I53)-J53</f>
        <v>5121143.7635000013</v>
      </c>
    </row>
    <row r="54" spans="1:11" ht="18" customHeight="1" x14ac:dyDescent="0.4">
      <c r="A54" s="1" t="s">
        <v>93</v>
      </c>
      <c r="B54" s="400" t="s">
        <v>698</v>
      </c>
      <c r="C54" s="401"/>
      <c r="D54" s="402"/>
      <c r="F54" s="306"/>
      <c r="G54" s="306"/>
      <c r="H54" s="307">
        <v>2167367</v>
      </c>
      <c r="I54" s="115">
        <v>0</v>
      </c>
      <c r="J54" s="307"/>
      <c r="K54" s="308">
        <f t="shared" si="7"/>
        <v>2167367</v>
      </c>
    </row>
    <row r="55" spans="1:11" ht="18" customHeight="1" x14ac:dyDescent="0.4">
      <c r="A55" s="1" t="s">
        <v>94</v>
      </c>
      <c r="B55" s="655" t="s">
        <v>312</v>
      </c>
      <c r="C55" s="653"/>
      <c r="D55" s="654"/>
      <c r="F55" s="306"/>
      <c r="G55" s="306"/>
      <c r="H55" s="307">
        <v>163700</v>
      </c>
      <c r="I55" s="115">
        <v>0</v>
      </c>
      <c r="J55" s="307"/>
      <c r="K55" s="308">
        <f t="shared" si="7"/>
        <v>163700</v>
      </c>
    </row>
    <row r="56" spans="1:11" ht="18" customHeight="1" x14ac:dyDescent="0.4">
      <c r="A56" s="1" t="s">
        <v>95</v>
      </c>
      <c r="B56" s="655"/>
      <c r="C56" s="653"/>
      <c r="D56" s="654"/>
      <c r="F56" s="306"/>
      <c r="G56" s="306"/>
      <c r="H56" s="307"/>
      <c r="I56" s="115">
        <v>0</v>
      </c>
      <c r="J56" s="307"/>
      <c r="K56" s="308">
        <f t="shared" si="7"/>
        <v>0</v>
      </c>
    </row>
    <row r="57" spans="1:11" ht="18" customHeight="1" x14ac:dyDescent="0.4">
      <c r="A57" s="1" t="s">
        <v>96</v>
      </c>
      <c r="B57" s="655"/>
      <c r="C57" s="653"/>
      <c r="D57" s="654"/>
      <c r="F57" s="306"/>
      <c r="G57" s="306"/>
      <c r="H57" s="307"/>
      <c r="I57" s="115">
        <v>0</v>
      </c>
      <c r="J57" s="307"/>
      <c r="K57" s="308">
        <f t="shared" si="7"/>
        <v>0</v>
      </c>
    </row>
    <row r="58" spans="1:11" ht="18" customHeight="1" x14ac:dyDescent="0.4">
      <c r="A58" s="1" t="s">
        <v>97</v>
      </c>
      <c r="B58" s="400"/>
      <c r="C58" s="401"/>
      <c r="D58" s="402"/>
      <c r="F58" s="306"/>
      <c r="G58" s="306"/>
      <c r="H58" s="307"/>
      <c r="I58" s="115">
        <v>0</v>
      </c>
      <c r="J58" s="307"/>
      <c r="K58" s="308">
        <f t="shared" si="7"/>
        <v>0</v>
      </c>
    </row>
    <row r="59" spans="1:11" ht="18" customHeight="1" x14ac:dyDescent="0.4">
      <c r="A59" s="1" t="s">
        <v>98</v>
      </c>
      <c r="B59" s="655"/>
      <c r="C59" s="653"/>
      <c r="D59" s="654"/>
      <c r="F59" s="306"/>
      <c r="G59" s="306"/>
      <c r="H59" s="307"/>
      <c r="I59" s="115">
        <v>0</v>
      </c>
      <c r="J59" s="307"/>
      <c r="K59" s="308">
        <f t="shared" si="7"/>
        <v>0</v>
      </c>
    </row>
    <row r="60" spans="1:11" ht="18" customHeight="1" x14ac:dyDescent="0.4">
      <c r="A60" s="1" t="s">
        <v>99</v>
      </c>
      <c r="B60" s="400"/>
      <c r="C60" s="401"/>
      <c r="D60" s="402"/>
      <c r="F60" s="306"/>
      <c r="G60" s="306"/>
      <c r="H60" s="307"/>
      <c r="I60" s="115">
        <v>0</v>
      </c>
      <c r="J60" s="307"/>
      <c r="K60" s="308">
        <f t="shared" si="7"/>
        <v>0</v>
      </c>
    </row>
    <row r="61" spans="1:11" ht="18" customHeight="1" x14ac:dyDescent="0.4">
      <c r="A61" s="1" t="s">
        <v>100</v>
      </c>
      <c r="B61" s="400"/>
      <c r="C61" s="401"/>
      <c r="D61" s="402"/>
      <c r="F61" s="306"/>
      <c r="G61" s="306"/>
      <c r="H61" s="307"/>
      <c r="I61" s="115">
        <v>0</v>
      </c>
      <c r="J61" s="307"/>
      <c r="K61" s="308">
        <f t="shared" si="7"/>
        <v>0</v>
      </c>
    </row>
    <row r="62" spans="1:11" ht="18" customHeight="1" x14ac:dyDescent="0.4">
      <c r="A62" s="1" t="s">
        <v>101</v>
      </c>
      <c r="B62" s="655"/>
      <c r="C62" s="653"/>
      <c r="D62" s="654"/>
      <c r="F62" s="306"/>
      <c r="G62" s="306"/>
      <c r="H62" s="307"/>
      <c r="I62" s="115">
        <v>0</v>
      </c>
      <c r="J62" s="307"/>
      <c r="K62" s="308">
        <f t="shared" si="7"/>
        <v>0</v>
      </c>
    </row>
    <row r="63" spans="1:11" ht="18" customHeight="1" x14ac:dyDescent="0.4">
      <c r="A63" s="1"/>
      <c r="I63" s="403"/>
    </row>
    <row r="64" spans="1:11" ht="18" customHeight="1" x14ac:dyDescent="0.4">
      <c r="A64" s="1" t="s">
        <v>144</v>
      </c>
      <c r="B64" s="95" t="s">
        <v>145</v>
      </c>
      <c r="E64" s="95" t="s">
        <v>7</v>
      </c>
      <c r="F64" s="310">
        <f t="shared" ref="F64:K64" si="8">SUM(F53:F62)</f>
        <v>0</v>
      </c>
      <c r="G64" s="310">
        <f t="shared" si="8"/>
        <v>0</v>
      </c>
      <c r="H64" s="308">
        <f t="shared" si="8"/>
        <v>8355582</v>
      </c>
      <c r="I64" s="308">
        <f t="shared" si="8"/>
        <v>4704543.7635000004</v>
      </c>
      <c r="J64" s="308">
        <f t="shared" si="8"/>
        <v>5607915</v>
      </c>
      <c r="K64" s="308">
        <f t="shared" si="8"/>
        <v>7452210.7635000013</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0</v>
      </c>
      <c r="G74" s="411">
        <f t="shared" si="9"/>
        <v>0</v>
      </c>
      <c r="H74" s="411">
        <f t="shared" si="9"/>
        <v>0</v>
      </c>
      <c r="I74" s="412">
        <f t="shared" si="9"/>
        <v>0</v>
      </c>
      <c r="J74" s="411">
        <f t="shared" si="9"/>
        <v>0</v>
      </c>
      <c r="K74" s="308">
        <f t="shared" si="9"/>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v>10559</v>
      </c>
      <c r="I79" s="115">
        <v>0</v>
      </c>
      <c r="J79" s="307"/>
      <c r="K79" s="308">
        <f>(H79+I79)-J79</f>
        <v>10559</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0</v>
      </c>
      <c r="G82" s="411">
        <f t="shared" si="10"/>
        <v>0</v>
      </c>
      <c r="H82" s="308">
        <f t="shared" si="10"/>
        <v>10559</v>
      </c>
      <c r="I82" s="308">
        <f t="shared" si="10"/>
        <v>0</v>
      </c>
      <c r="J82" s="308">
        <f t="shared" si="10"/>
        <v>0</v>
      </c>
      <c r="K82" s="308">
        <f t="shared" si="10"/>
        <v>10559</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1">H86*F$114</f>
        <v>0</v>
      </c>
      <c r="J86" s="307"/>
      <c r="K86" s="308">
        <f t="shared" ref="K86:K96" si="12">(H86+I86)-J86</f>
        <v>0</v>
      </c>
    </row>
    <row r="87" spans="1:11" ht="18" customHeight="1" x14ac:dyDescent="0.4">
      <c r="A87" s="1" t="s">
        <v>114</v>
      </c>
      <c r="B87" s="94" t="s">
        <v>14</v>
      </c>
      <c r="F87" s="306"/>
      <c r="G87" s="306"/>
      <c r="H87" s="307"/>
      <c r="I87" s="115">
        <f t="shared" si="11"/>
        <v>0</v>
      </c>
      <c r="J87" s="307"/>
      <c r="K87" s="308">
        <f t="shared" si="12"/>
        <v>0</v>
      </c>
    </row>
    <row r="88" spans="1:11" ht="18" customHeight="1" x14ac:dyDescent="0.4">
      <c r="A88" s="1" t="s">
        <v>115</v>
      </c>
      <c r="B88" s="94" t="s">
        <v>116</v>
      </c>
      <c r="F88" s="306"/>
      <c r="G88" s="306"/>
      <c r="H88" s="307"/>
      <c r="I88" s="115">
        <f t="shared" si="11"/>
        <v>0</v>
      </c>
      <c r="J88" s="307"/>
      <c r="K88" s="308">
        <f t="shared" si="12"/>
        <v>0</v>
      </c>
    </row>
    <row r="89" spans="1:11" ht="18" customHeight="1" x14ac:dyDescent="0.4">
      <c r="A89" s="1" t="s">
        <v>117</v>
      </c>
      <c r="B89" s="94" t="s">
        <v>58</v>
      </c>
      <c r="F89" s="306"/>
      <c r="G89" s="306"/>
      <c r="H89" s="307"/>
      <c r="I89" s="115">
        <f t="shared" si="11"/>
        <v>0</v>
      </c>
      <c r="J89" s="307"/>
      <c r="K89" s="308">
        <f t="shared" si="12"/>
        <v>0</v>
      </c>
    </row>
    <row r="90" spans="1:11" ht="18" customHeight="1" x14ac:dyDescent="0.4">
      <c r="A90" s="1" t="s">
        <v>118</v>
      </c>
      <c r="B90" s="635" t="s">
        <v>59</v>
      </c>
      <c r="C90" s="636"/>
      <c r="F90" s="306"/>
      <c r="G90" s="306"/>
      <c r="H90" s="307"/>
      <c r="I90" s="115">
        <f t="shared" si="11"/>
        <v>0</v>
      </c>
      <c r="J90" s="307"/>
      <c r="K90" s="308">
        <f t="shared" si="12"/>
        <v>0</v>
      </c>
    </row>
    <row r="91" spans="1:11" ht="18" customHeight="1" x14ac:dyDescent="0.4">
      <c r="A91" s="1" t="s">
        <v>119</v>
      </c>
      <c r="B91" s="94" t="s">
        <v>60</v>
      </c>
      <c r="F91" s="306"/>
      <c r="G91" s="306"/>
      <c r="H91" s="307"/>
      <c r="I91" s="115">
        <f t="shared" si="11"/>
        <v>0</v>
      </c>
      <c r="J91" s="307"/>
      <c r="K91" s="308">
        <f t="shared" si="12"/>
        <v>0</v>
      </c>
    </row>
    <row r="92" spans="1:11" ht="18" customHeight="1" x14ac:dyDescent="0.4">
      <c r="A92" s="1" t="s">
        <v>120</v>
      </c>
      <c r="B92" s="94" t="s">
        <v>121</v>
      </c>
      <c r="F92" s="107"/>
      <c r="G92" s="107"/>
      <c r="H92" s="108"/>
      <c r="I92" s="115">
        <f t="shared" si="11"/>
        <v>0</v>
      </c>
      <c r="J92" s="108"/>
      <c r="K92" s="308">
        <f t="shared" si="12"/>
        <v>0</v>
      </c>
    </row>
    <row r="93" spans="1:11" ht="18" customHeight="1" x14ac:dyDescent="0.4">
      <c r="A93" s="1" t="s">
        <v>122</v>
      </c>
      <c r="B93" s="94" t="s">
        <v>123</v>
      </c>
      <c r="F93" s="306"/>
      <c r="G93" s="306"/>
      <c r="H93" s="307"/>
      <c r="I93" s="115">
        <f t="shared" si="11"/>
        <v>0</v>
      </c>
      <c r="J93" s="307"/>
      <c r="K93" s="308">
        <f t="shared" si="12"/>
        <v>0</v>
      </c>
    </row>
    <row r="94" spans="1:11" ht="18" customHeight="1" x14ac:dyDescent="0.4">
      <c r="A94" s="1" t="s">
        <v>124</v>
      </c>
      <c r="B94" s="655"/>
      <c r="C94" s="653"/>
      <c r="D94" s="654"/>
      <c r="F94" s="306"/>
      <c r="G94" s="306"/>
      <c r="H94" s="307"/>
      <c r="I94" s="115">
        <f t="shared" si="11"/>
        <v>0</v>
      </c>
      <c r="J94" s="307"/>
      <c r="K94" s="308">
        <f t="shared" si="12"/>
        <v>0</v>
      </c>
    </row>
    <row r="95" spans="1:11" ht="18" customHeight="1" x14ac:dyDescent="0.4">
      <c r="A95" s="1" t="s">
        <v>125</v>
      </c>
      <c r="B95" s="655"/>
      <c r="C95" s="653"/>
      <c r="D95" s="654"/>
      <c r="F95" s="306"/>
      <c r="G95" s="306"/>
      <c r="H95" s="307"/>
      <c r="I95" s="115">
        <f t="shared" si="11"/>
        <v>0</v>
      </c>
      <c r="J95" s="307"/>
      <c r="K95" s="308">
        <f t="shared" si="12"/>
        <v>0</v>
      </c>
    </row>
    <row r="96" spans="1:11" ht="18" customHeight="1" x14ac:dyDescent="0.4">
      <c r="A96" s="1" t="s">
        <v>126</v>
      </c>
      <c r="B96" s="655"/>
      <c r="C96" s="653"/>
      <c r="D96" s="654"/>
      <c r="F96" s="306"/>
      <c r="G96" s="306"/>
      <c r="H96" s="307"/>
      <c r="I96" s="115">
        <f t="shared" si="11"/>
        <v>0</v>
      </c>
      <c r="J96" s="307"/>
      <c r="K96" s="308">
        <f t="shared" si="12"/>
        <v>0</v>
      </c>
    </row>
    <row r="97" spans="1:11" ht="18" customHeight="1" x14ac:dyDescent="0.4">
      <c r="A97" s="1"/>
      <c r="B97" s="94"/>
    </row>
    <row r="98" spans="1:11" ht="18" customHeight="1" x14ac:dyDescent="0.4">
      <c r="A98" s="98" t="s">
        <v>150</v>
      </c>
      <c r="B98" s="95" t="s">
        <v>151</v>
      </c>
      <c r="E98" s="95" t="s">
        <v>7</v>
      </c>
      <c r="F98" s="310">
        <f t="shared" ref="F98:K98" si="13">SUM(F86:F96)</f>
        <v>0</v>
      </c>
      <c r="G98" s="310">
        <f t="shared" si="13"/>
        <v>0</v>
      </c>
      <c r="H98" s="310">
        <f t="shared" si="13"/>
        <v>0</v>
      </c>
      <c r="I98" s="310">
        <f t="shared" si="13"/>
        <v>0</v>
      </c>
      <c r="J98" s="310">
        <f t="shared" si="13"/>
        <v>0</v>
      </c>
      <c r="K98" s="310">
        <f t="shared" si="13"/>
        <v>0</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c r="G102" s="306"/>
      <c r="H102" s="307">
        <v>58787</v>
      </c>
      <c r="I102" s="115">
        <f>H102*F$114</f>
        <v>45906.768300000003</v>
      </c>
      <c r="J102" s="307"/>
      <c r="K102" s="308">
        <f>(H102+I102)-J102</f>
        <v>104693.7683</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0</v>
      </c>
      <c r="G108" s="310">
        <f t="shared" si="14"/>
        <v>0</v>
      </c>
      <c r="H108" s="308">
        <f t="shared" si="14"/>
        <v>58787</v>
      </c>
      <c r="I108" s="308">
        <f t="shared" si="14"/>
        <v>45906.768300000003</v>
      </c>
      <c r="J108" s="308">
        <f t="shared" si="14"/>
        <v>0</v>
      </c>
      <c r="K108" s="308">
        <f t="shared" si="14"/>
        <v>104693.7683</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213345</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0.78090000000000004</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39818900</v>
      </c>
    </row>
    <row r="118" spans="1:6" ht="18" customHeight="1" x14ac:dyDescent="0.4">
      <c r="A118" s="1" t="s">
        <v>173</v>
      </c>
      <c r="B118" t="s">
        <v>18</v>
      </c>
      <c r="F118" s="307">
        <v>10134600</v>
      </c>
    </row>
    <row r="119" spans="1:6" ht="18" customHeight="1" x14ac:dyDescent="0.4">
      <c r="A119" s="1" t="s">
        <v>174</v>
      </c>
      <c r="B119" s="95" t="s">
        <v>19</v>
      </c>
      <c r="F119" s="308">
        <f>SUM(F117:F118)</f>
        <v>49953500</v>
      </c>
    </row>
    <row r="120" spans="1:6" ht="18" customHeight="1" x14ac:dyDescent="0.4">
      <c r="A120" s="1"/>
      <c r="B120" s="95"/>
    </row>
    <row r="121" spans="1:6" ht="18" customHeight="1" x14ac:dyDescent="0.4">
      <c r="A121" s="1" t="s">
        <v>167</v>
      </c>
      <c r="B121" s="95" t="s">
        <v>36</v>
      </c>
      <c r="F121" s="307">
        <v>66479100</v>
      </c>
    </row>
    <row r="122" spans="1:6" ht="18" customHeight="1" x14ac:dyDescent="0.4">
      <c r="A122" s="1"/>
    </row>
    <row r="123" spans="1:6" ht="18" customHeight="1" x14ac:dyDescent="0.4">
      <c r="A123" s="1" t="s">
        <v>175</v>
      </c>
      <c r="B123" s="95" t="s">
        <v>20</v>
      </c>
      <c r="F123" s="307">
        <f>+F119-F121</f>
        <v>-16525600</v>
      </c>
    </row>
    <row r="124" spans="1:6" ht="18" customHeight="1" x14ac:dyDescent="0.4">
      <c r="A124" s="1"/>
    </row>
    <row r="125" spans="1:6" ht="18" customHeight="1" x14ac:dyDescent="0.4">
      <c r="A125" s="1" t="s">
        <v>176</v>
      </c>
      <c r="B125" s="95" t="s">
        <v>21</v>
      </c>
      <c r="F125" s="307">
        <v>5118000</v>
      </c>
    </row>
    <row r="126" spans="1:6" ht="18" customHeight="1" x14ac:dyDescent="0.4">
      <c r="A126" s="1"/>
    </row>
    <row r="127" spans="1:6" ht="18" customHeight="1" x14ac:dyDescent="0.4">
      <c r="A127" s="1" t="s">
        <v>177</v>
      </c>
      <c r="B127" s="95" t="s">
        <v>22</v>
      </c>
      <c r="F127" s="307">
        <f>+F123+F125</f>
        <v>-11407600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5">SUM(F131:F135)</f>
        <v>0</v>
      </c>
      <c r="G137" s="310">
        <f t="shared" si="15"/>
        <v>0</v>
      </c>
      <c r="H137" s="308">
        <f t="shared" si="15"/>
        <v>0</v>
      </c>
      <c r="I137" s="308">
        <f t="shared" si="15"/>
        <v>0</v>
      </c>
      <c r="J137" s="308">
        <f t="shared" si="15"/>
        <v>0</v>
      </c>
      <c r="K137" s="308">
        <f t="shared" si="15"/>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0</v>
      </c>
      <c r="G141" s="109">
        <f t="shared" si="16"/>
        <v>0</v>
      </c>
      <c r="H141" s="109">
        <f t="shared" si="16"/>
        <v>427965</v>
      </c>
      <c r="I141" s="109">
        <f t="shared" si="16"/>
        <v>334197.86850000004</v>
      </c>
      <c r="J141" s="109">
        <f t="shared" si="16"/>
        <v>91746</v>
      </c>
      <c r="K141" s="109">
        <f t="shared" si="16"/>
        <v>670416.86849999998</v>
      </c>
    </row>
    <row r="142" spans="1:11" ht="18" customHeight="1" x14ac:dyDescent="0.4">
      <c r="A142" s="1" t="s">
        <v>142</v>
      </c>
      <c r="B142" s="95" t="s">
        <v>65</v>
      </c>
      <c r="F142" s="109">
        <f t="shared" ref="F142:K142" si="17">F49</f>
        <v>0</v>
      </c>
      <c r="G142" s="109">
        <f t="shared" si="17"/>
        <v>0</v>
      </c>
      <c r="H142" s="109">
        <f t="shared" si="17"/>
        <v>99987</v>
      </c>
      <c r="I142" s="109">
        <f t="shared" si="17"/>
        <v>78079.848299999998</v>
      </c>
      <c r="J142" s="109">
        <f t="shared" si="17"/>
        <v>0</v>
      </c>
      <c r="K142" s="109">
        <f t="shared" si="17"/>
        <v>178066.84830000001</v>
      </c>
    </row>
    <row r="143" spans="1:11" ht="18" customHeight="1" x14ac:dyDescent="0.4">
      <c r="A143" s="1" t="s">
        <v>144</v>
      </c>
      <c r="B143" s="95" t="s">
        <v>66</v>
      </c>
      <c r="F143" s="109">
        <f t="shared" ref="F143:K143" si="18">F64</f>
        <v>0</v>
      </c>
      <c r="G143" s="109">
        <f t="shared" si="18"/>
        <v>0</v>
      </c>
      <c r="H143" s="109">
        <f t="shared" si="18"/>
        <v>8355582</v>
      </c>
      <c r="I143" s="109">
        <f t="shared" si="18"/>
        <v>4704543.7635000004</v>
      </c>
      <c r="J143" s="109">
        <f t="shared" si="18"/>
        <v>5607915</v>
      </c>
      <c r="K143" s="109">
        <f t="shared" si="18"/>
        <v>7452210.7635000013</v>
      </c>
    </row>
    <row r="144" spans="1:11" ht="18" customHeight="1" x14ac:dyDescent="0.4">
      <c r="A144" s="1" t="s">
        <v>146</v>
      </c>
      <c r="B144" s="95" t="s">
        <v>67</v>
      </c>
      <c r="F144" s="109">
        <f t="shared" ref="F144:K144" si="19">F74</f>
        <v>0</v>
      </c>
      <c r="G144" s="109">
        <f t="shared" si="19"/>
        <v>0</v>
      </c>
      <c r="H144" s="109">
        <f t="shared" si="19"/>
        <v>0</v>
      </c>
      <c r="I144" s="109">
        <f t="shared" si="19"/>
        <v>0</v>
      </c>
      <c r="J144" s="109">
        <f t="shared" si="19"/>
        <v>0</v>
      </c>
      <c r="K144" s="109">
        <f t="shared" si="19"/>
        <v>0</v>
      </c>
    </row>
    <row r="145" spans="1:11" ht="18" customHeight="1" x14ac:dyDescent="0.4">
      <c r="A145" s="1" t="s">
        <v>148</v>
      </c>
      <c r="B145" s="95" t="s">
        <v>68</v>
      </c>
      <c r="F145" s="109">
        <f t="shared" ref="F145:K145" si="20">F82</f>
        <v>0</v>
      </c>
      <c r="G145" s="109">
        <f t="shared" si="20"/>
        <v>0</v>
      </c>
      <c r="H145" s="109">
        <f t="shared" si="20"/>
        <v>10559</v>
      </c>
      <c r="I145" s="109">
        <f t="shared" si="20"/>
        <v>0</v>
      </c>
      <c r="J145" s="109">
        <f t="shared" si="20"/>
        <v>0</v>
      </c>
      <c r="K145" s="109">
        <f t="shared" si="20"/>
        <v>10559</v>
      </c>
    </row>
    <row r="146" spans="1:11" ht="18" customHeight="1" x14ac:dyDescent="0.4">
      <c r="A146" s="1" t="s">
        <v>150</v>
      </c>
      <c r="B146" s="95" t="s">
        <v>69</v>
      </c>
      <c r="F146" s="109">
        <f t="shared" ref="F146:K146" si="21">F98</f>
        <v>0</v>
      </c>
      <c r="G146" s="109">
        <f t="shared" si="21"/>
        <v>0</v>
      </c>
      <c r="H146" s="109">
        <f t="shared" si="21"/>
        <v>0</v>
      </c>
      <c r="I146" s="109">
        <f t="shared" si="21"/>
        <v>0</v>
      </c>
      <c r="J146" s="109">
        <f t="shared" si="21"/>
        <v>0</v>
      </c>
      <c r="K146" s="109">
        <f t="shared" si="21"/>
        <v>0</v>
      </c>
    </row>
    <row r="147" spans="1:11" ht="18" customHeight="1" x14ac:dyDescent="0.4">
      <c r="A147" s="1" t="s">
        <v>153</v>
      </c>
      <c r="B147" s="95" t="s">
        <v>61</v>
      </c>
      <c r="F147" s="310">
        <f t="shared" ref="F147:K147" si="22">F108</f>
        <v>0</v>
      </c>
      <c r="G147" s="310">
        <f t="shared" si="22"/>
        <v>0</v>
      </c>
      <c r="H147" s="310">
        <f t="shared" si="22"/>
        <v>58787</v>
      </c>
      <c r="I147" s="310">
        <f t="shared" si="22"/>
        <v>45906.768300000003</v>
      </c>
      <c r="J147" s="310">
        <f t="shared" si="22"/>
        <v>0</v>
      </c>
      <c r="K147" s="310">
        <f t="shared" si="22"/>
        <v>104693.7683</v>
      </c>
    </row>
    <row r="148" spans="1:11" ht="18" customHeight="1" x14ac:dyDescent="0.4">
      <c r="A148" s="1" t="s">
        <v>155</v>
      </c>
      <c r="B148" s="95" t="s">
        <v>70</v>
      </c>
      <c r="F148" s="110" t="s">
        <v>73</v>
      </c>
      <c r="G148" s="110" t="s">
        <v>73</v>
      </c>
      <c r="H148" s="111" t="s">
        <v>73</v>
      </c>
      <c r="I148" s="111" t="s">
        <v>73</v>
      </c>
      <c r="J148" s="111" t="s">
        <v>73</v>
      </c>
      <c r="K148" s="106">
        <f>F111</f>
        <v>213345</v>
      </c>
    </row>
    <row r="149" spans="1:11" ht="18" customHeight="1" x14ac:dyDescent="0.4">
      <c r="A149" s="1" t="s">
        <v>163</v>
      </c>
      <c r="B149" s="95" t="s">
        <v>71</v>
      </c>
      <c r="F149" s="310">
        <f t="shared" ref="F149:K149" si="23">F137</f>
        <v>0</v>
      </c>
      <c r="G149" s="310">
        <f t="shared" si="23"/>
        <v>0</v>
      </c>
      <c r="H149" s="310">
        <f t="shared" si="23"/>
        <v>0</v>
      </c>
      <c r="I149" s="310">
        <f t="shared" si="23"/>
        <v>0</v>
      </c>
      <c r="J149" s="310">
        <f t="shared" si="23"/>
        <v>0</v>
      </c>
      <c r="K149" s="310">
        <f t="shared" si="23"/>
        <v>0</v>
      </c>
    </row>
    <row r="150" spans="1:11" ht="18" customHeight="1" x14ac:dyDescent="0.4">
      <c r="A150" s="1" t="s">
        <v>185</v>
      </c>
      <c r="B150" s="95" t="s">
        <v>186</v>
      </c>
      <c r="F150" s="110" t="s">
        <v>73</v>
      </c>
      <c r="G150" s="110" t="s">
        <v>73</v>
      </c>
      <c r="H150" s="310">
        <f>H18</f>
        <v>866476.87</v>
      </c>
      <c r="I150" s="310">
        <f>I18</f>
        <v>0</v>
      </c>
      <c r="J150" s="310">
        <f>J18</f>
        <v>718110.17</v>
      </c>
      <c r="K150" s="310">
        <f>K18</f>
        <v>148366.69999999995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0</v>
      </c>
      <c r="G152" s="114">
        <f t="shared" si="24"/>
        <v>0</v>
      </c>
      <c r="H152" s="114">
        <f t="shared" si="24"/>
        <v>9819356.8699999992</v>
      </c>
      <c r="I152" s="114">
        <f t="shared" si="24"/>
        <v>5162728.2485999996</v>
      </c>
      <c r="J152" s="114">
        <f t="shared" si="24"/>
        <v>6417771.1699999999</v>
      </c>
      <c r="K152" s="114">
        <f t="shared" si="24"/>
        <v>8777658.9486000016</v>
      </c>
    </row>
    <row r="154" spans="1:11" ht="18" customHeight="1" x14ac:dyDescent="0.4">
      <c r="A154" s="98" t="s">
        <v>168</v>
      </c>
      <c r="B154" s="95" t="s">
        <v>28</v>
      </c>
      <c r="F154" s="318">
        <f>K152/F121</f>
        <v>0.13203636855192086</v>
      </c>
    </row>
    <row r="155" spans="1:11" ht="18" customHeight="1" x14ac:dyDescent="0.4">
      <c r="A155" s="98" t="s">
        <v>169</v>
      </c>
      <c r="B155" s="95" t="s">
        <v>72</v>
      </c>
      <c r="F155" s="318">
        <f>K152/F127</f>
        <v>-0.76945711180265797</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xr:uid="{EB0E4F24-FD0C-41E5-A084-7E0B3E6DB137}"/>
  </hyperlinks>
  <printOptions headings="1" gridLines="1"/>
  <pageMargins left="0.17" right="0.16" top="0.35" bottom="0.32" header="0.17" footer="0.17"/>
  <pageSetup paperSize="5" scale="75" fitToHeight="0"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
  <sheetViews>
    <sheetView workbookViewId="0">
      <selection activeCell="A2" sqref="A2"/>
    </sheetView>
  </sheetViews>
  <sheetFormatPr defaultColWidth="9.109375" defaultRowHeight="14.4" x14ac:dyDescent="0.55000000000000004"/>
  <cols>
    <col min="1" max="1" width="22.83203125" style="267" customWidth="1"/>
    <col min="2" max="2" width="51.71875" style="267" bestFit="1" customWidth="1"/>
    <col min="3" max="3" width="14.609375" style="267" customWidth="1"/>
    <col min="4" max="4" width="12.109375" style="267" bestFit="1" customWidth="1"/>
    <col min="5" max="16384" width="9.109375" style="267"/>
  </cols>
  <sheetData>
    <row r="1" spans="1:3" x14ac:dyDescent="0.55000000000000004">
      <c r="A1" s="201" t="s">
        <v>850</v>
      </c>
    </row>
    <row r="2" spans="1:3" x14ac:dyDescent="0.55000000000000004">
      <c r="A2" s="274" t="s">
        <v>489</v>
      </c>
      <c r="B2" s="274" t="s">
        <v>194</v>
      </c>
      <c r="C2" s="274" t="s">
        <v>70</v>
      </c>
    </row>
    <row r="3" spans="1:3" x14ac:dyDescent="0.55000000000000004">
      <c r="A3" s="268">
        <v>210001</v>
      </c>
      <c r="B3" s="268" t="s">
        <v>191</v>
      </c>
      <c r="C3" s="602">
        <v>5280200</v>
      </c>
    </row>
    <row r="4" spans="1:3" x14ac:dyDescent="0.55000000000000004">
      <c r="A4" s="269" t="s">
        <v>556</v>
      </c>
      <c r="B4" s="268" t="s">
        <v>557</v>
      </c>
      <c r="C4" s="602">
        <v>21239000</v>
      </c>
    </row>
    <row r="5" spans="1:3" x14ac:dyDescent="0.55000000000000004">
      <c r="A5" s="269" t="s">
        <v>558</v>
      </c>
      <c r="B5" s="268" t="s">
        <v>593</v>
      </c>
      <c r="C5" s="602">
        <v>10373354.652804293</v>
      </c>
    </row>
    <row r="6" spans="1:3" x14ac:dyDescent="0.55000000000000004">
      <c r="A6" s="268">
        <v>210004</v>
      </c>
      <c r="B6" s="268" t="s">
        <v>450</v>
      </c>
      <c r="C6" s="602">
        <v>25216477.760000005</v>
      </c>
    </row>
    <row r="7" spans="1:3" x14ac:dyDescent="0.55000000000000004">
      <c r="A7" s="268">
        <v>210005</v>
      </c>
      <c r="B7" s="268" t="s">
        <v>559</v>
      </c>
      <c r="C7" s="602">
        <v>5822311.0699999994</v>
      </c>
    </row>
    <row r="8" spans="1:3" x14ac:dyDescent="0.55000000000000004">
      <c r="A8" s="268">
        <v>210006</v>
      </c>
      <c r="B8" s="268" t="s">
        <v>560</v>
      </c>
      <c r="C8" s="602">
        <v>1818999.9999999998</v>
      </c>
    </row>
    <row r="9" spans="1:3" x14ac:dyDescent="0.55000000000000004">
      <c r="A9" s="268">
        <v>210008</v>
      </c>
      <c r="B9" s="268" t="s">
        <v>561</v>
      </c>
      <c r="C9" s="602">
        <v>17767062</v>
      </c>
    </row>
    <row r="10" spans="1:3" x14ac:dyDescent="0.55000000000000004">
      <c r="A10" s="268">
        <v>210009</v>
      </c>
      <c r="B10" s="268" t="s">
        <v>451</v>
      </c>
      <c r="C10" s="602">
        <v>35066500</v>
      </c>
    </row>
    <row r="11" spans="1:3" x14ac:dyDescent="0.55000000000000004">
      <c r="A11" s="268">
        <v>210010</v>
      </c>
      <c r="B11" s="268" t="s">
        <v>562</v>
      </c>
      <c r="C11" s="602">
        <v>425237.41138826963</v>
      </c>
    </row>
    <row r="12" spans="1:3" x14ac:dyDescent="0.55000000000000004">
      <c r="A12" s="268">
        <v>210011</v>
      </c>
      <c r="B12" s="268" t="s">
        <v>563</v>
      </c>
      <c r="C12" s="602">
        <v>12957524.010000002</v>
      </c>
    </row>
    <row r="13" spans="1:3" x14ac:dyDescent="0.55000000000000004">
      <c r="A13" s="268">
        <v>210012</v>
      </c>
      <c r="B13" s="268" t="s">
        <v>564</v>
      </c>
      <c r="C13" s="602">
        <v>5349000</v>
      </c>
    </row>
    <row r="14" spans="1:3" x14ac:dyDescent="0.55000000000000004">
      <c r="A14" s="268">
        <v>210013</v>
      </c>
      <c r="B14" s="268" t="s">
        <v>565</v>
      </c>
      <c r="C14" s="602">
        <v>213344.62</v>
      </c>
    </row>
    <row r="15" spans="1:3" x14ac:dyDescent="0.55000000000000004">
      <c r="A15" s="268">
        <v>210015</v>
      </c>
      <c r="B15" s="268" t="s">
        <v>566</v>
      </c>
      <c r="C15" s="602">
        <v>12318684.460000001</v>
      </c>
    </row>
    <row r="16" spans="1:3" x14ac:dyDescent="0.55000000000000004">
      <c r="A16" s="268">
        <v>210016</v>
      </c>
      <c r="B16" s="268" t="s">
        <v>851</v>
      </c>
      <c r="C16" s="602">
        <v>9248445.1300000008</v>
      </c>
    </row>
    <row r="17" spans="1:3" x14ac:dyDescent="0.55000000000000004">
      <c r="A17" s="268">
        <v>210017</v>
      </c>
      <c r="B17" s="268" t="s">
        <v>568</v>
      </c>
      <c r="C17" s="602">
        <v>3088076.6558038108</v>
      </c>
    </row>
    <row r="18" spans="1:3" x14ac:dyDescent="0.55000000000000004">
      <c r="A18" s="268">
        <v>210018</v>
      </c>
      <c r="B18" s="268" t="s">
        <v>569</v>
      </c>
      <c r="C18" s="602">
        <v>3193638.4499999997</v>
      </c>
    </row>
    <row r="19" spans="1:3" x14ac:dyDescent="0.55000000000000004">
      <c r="A19" s="268">
        <v>210019</v>
      </c>
      <c r="B19" s="268" t="s">
        <v>396</v>
      </c>
      <c r="C19" s="602">
        <v>13045900</v>
      </c>
    </row>
    <row r="20" spans="1:3" x14ac:dyDescent="0.55000000000000004">
      <c r="A20" s="268">
        <v>210022</v>
      </c>
      <c r="B20" s="268" t="s">
        <v>570</v>
      </c>
      <c r="C20" s="602">
        <v>4768896</v>
      </c>
    </row>
    <row r="21" spans="1:3" x14ac:dyDescent="0.55000000000000004">
      <c r="A21" s="268">
        <v>210023</v>
      </c>
      <c r="B21" s="268" t="s">
        <v>571</v>
      </c>
      <c r="C21" s="602">
        <v>4665000</v>
      </c>
    </row>
    <row r="22" spans="1:3" x14ac:dyDescent="0.55000000000000004">
      <c r="A22" s="268">
        <v>210024</v>
      </c>
      <c r="B22" s="268" t="s">
        <v>397</v>
      </c>
      <c r="C22" s="602">
        <v>9977661.1500000004</v>
      </c>
    </row>
    <row r="23" spans="1:3" x14ac:dyDescent="0.55000000000000004">
      <c r="A23" s="268">
        <v>210027</v>
      </c>
      <c r="B23" s="268" t="s">
        <v>572</v>
      </c>
      <c r="C23" s="602">
        <v>12451700</v>
      </c>
    </row>
    <row r="24" spans="1:3" x14ac:dyDescent="0.55000000000000004">
      <c r="A24" s="268">
        <v>210028</v>
      </c>
      <c r="B24" s="268" t="s">
        <v>573</v>
      </c>
      <c r="C24" s="602">
        <v>4539656.1199999992</v>
      </c>
    </row>
    <row r="25" spans="1:3" x14ac:dyDescent="0.55000000000000004">
      <c r="A25" s="268">
        <v>210029</v>
      </c>
      <c r="B25" s="268" t="s">
        <v>574</v>
      </c>
      <c r="C25" s="602">
        <v>21680000</v>
      </c>
    </row>
    <row r="26" spans="1:3" x14ac:dyDescent="0.55000000000000004">
      <c r="A26" s="268">
        <v>210030</v>
      </c>
      <c r="B26" s="268" t="s">
        <v>575</v>
      </c>
      <c r="C26" s="602">
        <v>624741.64000000013</v>
      </c>
    </row>
    <row r="27" spans="1:3" x14ac:dyDescent="0.55000000000000004">
      <c r="A27" s="268">
        <v>210032</v>
      </c>
      <c r="B27" s="268" t="s">
        <v>226</v>
      </c>
      <c r="C27" s="602">
        <v>1429900</v>
      </c>
    </row>
    <row r="28" spans="1:3" x14ac:dyDescent="0.55000000000000004">
      <c r="A28" s="268">
        <v>210033</v>
      </c>
      <c r="B28" s="268" t="s">
        <v>576</v>
      </c>
      <c r="C28" s="602">
        <v>503782.00000000006</v>
      </c>
    </row>
    <row r="29" spans="1:3" x14ac:dyDescent="0.55000000000000004">
      <c r="A29" s="268">
        <v>210034</v>
      </c>
      <c r="B29" s="268" t="s">
        <v>577</v>
      </c>
      <c r="C29" s="602">
        <v>5448213.5899999999</v>
      </c>
    </row>
    <row r="30" spans="1:3" x14ac:dyDescent="0.55000000000000004">
      <c r="A30" s="268">
        <v>210035</v>
      </c>
      <c r="B30" s="268" t="s">
        <v>578</v>
      </c>
      <c r="C30" s="602">
        <v>1088000</v>
      </c>
    </row>
    <row r="31" spans="1:3" x14ac:dyDescent="0.55000000000000004">
      <c r="A31" s="268">
        <v>210037</v>
      </c>
      <c r="B31" s="268" t="s">
        <v>579</v>
      </c>
      <c r="C31" s="602">
        <v>2913105.3100000005</v>
      </c>
    </row>
    <row r="32" spans="1:3" x14ac:dyDescent="0.55000000000000004">
      <c r="A32" s="268">
        <v>210038</v>
      </c>
      <c r="B32" s="268" t="s">
        <v>580</v>
      </c>
      <c r="C32" s="602">
        <v>3763000</v>
      </c>
    </row>
    <row r="33" spans="1:3" x14ac:dyDescent="0.55000000000000004">
      <c r="A33" s="268">
        <v>210039</v>
      </c>
      <c r="B33" s="268" t="s">
        <v>581</v>
      </c>
      <c r="C33" s="602">
        <v>2092025.9999999998</v>
      </c>
    </row>
    <row r="34" spans="1:3" x14ac:dyDescent="0.55000000000000004">
      <c r="A34" s="268">
        <v>210040</v>
      </c>
      <c r="B34" s="268" t="s">
        <v>477</v>
      </c>
      <c r="C34" s="602">
        <v>1929687.9999999998</v>
      </c>
    </row>
    <row r="35" spans="1:3" x14ac:dyDescent="0.55000000000000004">
      <c r="A35" s="268">
        <v>210043</v>
      </c>
      <c r="B35" s="268" t="s">
        <v>582</v>
      </c>
      <c r="C35" s="602">
        <v>6375000.0000000009</v>
      </c>
    </row>
    <row r="36" spans="1:3" x14ac:dyDescent="0.55000000000000004">
      <c r="A36" s="268">
        <v>210044</v>
      </c>
      <c r="B36" s="268" t="s">
        <v>444</v>
      </c>
      <c r="C36" s="602">
        <v>2193000</v>
      </c>
    </row>
    <row r="37" spans="1:3" x14ac:dyDescent="0.55000000000000004">
      <c r="A37" s="268">
        <v>210045</v>
      </c>
      <c r="B37" s="268" t="s">
        <v>583</v>
      </c>
      <c r="C37" s="603">
        <v>0</v>
      </c>
    </row>
    <row r="38" spans="1:3" x14ac:dyDescent="0.55000000000000004">
      <c r="A38" s="268">
        <v>210048</v>
      </c>
      <c r="B38" s="268" t="s">
        <v>265</v>
      </c>
      <c r="C38" s="602">
        <v>4679000</v>
      </c>
    </row>
    <row r="39" spans="1:3" x14ac:dyDescent="0.55000000000000004">
      <c r="A39" s="268">
        <v>210049</v>
      </c>
      <c r="B39" s="268" t="s">
        <v>584</v>
      </c>
      <c r="C39" s="602">
        <v>3918000.0000000005</v>
      </c>
    </row>
    <row r="40" spans="1:3" x14ac:dyDescent="0.55000000000000004">
      <c r="A40" s="268">
        <v>210051</v>
      </c>
      <c r="B40" s="268" t="s">
        <v>585</v>
      </c>
      <c r="C40" s="602">
        <v>9425649.1499999985</v>
      </c>
    </row>
    <row r="41" spans="1:3" x14ac:dyDescent="0.55000000000000004">
      <c r="A41" s="268">
        <v>210056</v>
      </c>
      <c r="B41" s="270" t="s">
        <v>403</v>
      </c>
      <c r="C41" s="602">
        <v>7178702.8200000003</v>
      </c>
    </row>
    <row r="42" spans="1:3" x14ac:dyDescent="0.55000000000000004">
      <c r="A42" s="268">
        <v>210057</v>
      </c>
      <c r="B42" s="270" t="s">
        <v>586</v>
      </c>
      <c r="C42" s="602">
        <v>11221258.999999998</v>
      </c>
    </row>
    <row r="43" spans="1:3" x14ac:dyDescent="0.55000000000000004">
      <c r="A43" s="268">
        <v>210058</v>
      </c>
      <c r="B43" s="270" t="s">
        <v>587</v>
      </c>
      <c r="C43" s="602">
        <v>1382000</v>
      </c>
    </row>
    <row r="44" spans="1:3" x14ac:dyDescent="0.55000000000000004">
      <c r="A44" s="268">
        <v>210060</v>
      </c>
      <c r="B44" s="270" t="s">
        <v>228</v>
      </c>
      <c r="C44" s="602">
        <v>400373.99999999994</v>
      </c>
    </row>
    <row r="45" spans="1:3" x14ac:dyDescent="0.55000000000000004">
      <c r="A45" s="268">
        <v>210061</v>
      </c>
      <c r="B45" s="270" t="s">
        <v>231</v>
      </c>
      <c r="C45" s="602">
        <v>2080699.9999999998</v>
      </c>
    </row>
    <row r="46" spans="1:3" x14ac:dyDescent="0.55000000000000004">
      <c r="A46" s="268">
        <v>210062</v>
      </c>
      <c r="B46" s="270" t="s">
        <v>588</v>
      </c>
      <c r="C46" s="602">
        <v>5442146.6899999995</v>
      </c>
    </row>
    <row r="47" spans="1:3" x14ac:dyDescent="0.55000000000000004">
      <c r="A47" s="268">
        <v>210063</v>
      </c>
      <c r="B47" s="270" t="s">
        <v>589</v>
      </c>
      <c r="C47" s="602">
        <v>7456791.7199999988</v>
      </c>
    </row>
    <row r="48" spans="1:3" x14ac:dyDescent="0.55000000000000004">
      <c r="A48" s="268">
        <v>210064</v>
      </c>
      <c r="B48" s="270" t="s">
        <v>195</v>
      </c>
      <c r="C48" s="602">
        <v>936020</v>
      </c>
    </row>
    <row r="49" spans="1:4" x14ac:dyDescent="0.55000000000000004">
      <c r="A49" s="268">
        <v>210065</v>
      </c>
      <c r="B49" s="270" t="s">
        <v>590</v>
      </c>
      <c r="C49" s="602">
        <v>4804910.22</v>
      </c>
    </row>
    <row r="50" spans="1:4" x14ac:dyDescent="0.55000000000000004">
      <c r="A50" s="268">
        <v>213300</v>
      </c>
      <c r="B50" s="270" t="s">
        <v>591</v>
      </c>
      <c r="C50" s="602">
        <v>43123.000000000007</v>
      </c>
    </row>
    <row r="51" spans="1:4" x14ac:dyDescent="0.55000000000000004">
      <c r="A51" s="268">
        <v>214000</v>
      </c>
      <c r="B51" s="270" t="s">
        <v>196</v>
      </c>
      <c r="C51" s="602">
        <v>4391731.040000001</v>
      </c>
    </row>
    <row r="52" spans="1:4" x14ac:dyDescent="0.55000000000000004">
      <c r="A52" s="268">
        <v>213029</v>
      </c>
      <c r="B52" s="270" t="s">
        <v>592</v>
      </c>
      <c r="C52" s="602">
        <v>0</v>
      </c>
    </row>
    <row r="53" spans="1:4" x14ac:dyDescent="0.55000000000000004">
      <c r="A53" s="275"/>
      <c r="B53" s="276" t="s">
        <v>192</v>
      </c>
      <c r="C53" s="277">
        <f>SUM(C3:C52)</f>
        <v>332227533.66999644</v>
      </c>
    </row>
    <row r="57" spans="1:4" x14ac:dyDescent="0.55000000000000004">
      <c r="D57" s="273"/>
    </row>
  </sheetData>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K156"/>
  <sheetViews>
    <sheetView topLeftCell="A139" zoomScale="85" zoomScaleNormal="85" workbookViewId="0">
      <selection activeCell="H141" sqref="H141"/>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109375" customWidth="1"/>
    <col min="9" max="9" width="21.109375" customWidth="1"/>
    <col min="10" max="10" width="19.886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393</v>
      </c>
      <c r="D5" s="666"/>
      <c r="E5" s="666"/>
      <c r="F5" s="666"/>
      <c r="G5" s="667"/>
    </row>
    <row r="6" spans="1:11" ht="18" customHeight="1" x14ac:dyDescent="0.4">
      <c r="B6" s="1" t="s">
        <v>3</v>
      </c>
      <c r="C6" s="683">
        <v>210015</v>
      </c>
      <c r="D6" s="684"/>
      <c r="E6" s="684"/>
      <c r="F6" s="684"/>
      <c r="G6" s="685"/>
    </row>
    <row r="7" spans="1:11" ht="18" customHeight="1" x14ac:dyDescent="0.4">
      <c r="B7" s="1" t="s">
        <v>4</v>
      </c>
      <c r="C7" s="686">
        <v>2905</v>
      </c>
      <c r="D7" s="687"/>
      <c r="E7" s="687"/>
      <c r="F7" s="687"/>
      <c r="G7" s="688"/>
    </row>
    <row r="9" spans="1:11" ht="18" customHeight="1" x14ac:dyDescent="0.4">
      <c r="B9" s="1" t="s">
        <v>1</v>
      </c>
      <c r="C9" s="663" t="s">
        <v>433</v>
      </c>
      <c r="D9" s="666"/>
      <c r="E9" s="666"/>
      <c r="F9" s="666"/>
      <c r="G9" s="667"/>
    </row>
    <row r="10" spans="1:11" ht="18" customHeight="1" x14ac:dyDescent="0.4">
      <c r="B10" s="1" t="s">
        <v>2</v>
      </c>
      <c r="C10" s="660" t="s">
        <v>434</v>
      </c>
      <c r="D10" s="738"/>
      <c r="E10" s="738"/>
      <c r="F10" s="738"/>
      <c r="G10" s="739"/>
    </row>
    <row r="11" spans="1:11" ht="18" customHeight="1" x14ac:dyDescent="0.4">
      <c r="B11" s="1" t="s">
        <v>32</v>
      </c>
      <c r="C11" s="660" t="s">
        <v>435</v>
      </c>
      <c r="D11" s="738"/>
      <c r="E11" s="738"/>
      <c r="F11" s="738"/>
      <c r="G11" s="739"/>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10676970.060000001</v>
      </c>
      <c r="I18" s="115">
        <v>0</v>
      </c>
      <c r="J18" s="307">
        <v>8848754.1199999992</v>
      </c>
      <c r="K18" s="308">
        <f>H18-J18</f>
        <v>1828215.9400000013</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553.5</v>
      </c>
      <c r="G21" s="306">
        <v>1787</v>
      </c>
      <c r="H21" s="307">
        <v>28124</v>
      </c>
      <c r="I21" s="115">
        <v>11354</v>
      </c>
      <c r="J21" s="307">
        <v>0</v>
      </c>
      <c r="K21" s="308">
        <v>39478</v>
      </c>
    </row>
    <row r="22" spans="1:11" ht="18" customHeight="1" x14ac:dyDescent="0.4">
      <c r="A22" s="1" t="s">
        <v>76</v>
      </c>
      <c r="B22" t="s">
        <v>6</v>
      </c>
      <c r="F22" s="306">
        <v>523.5</v>
      </c>
      <c r="G22" s="306">
        <v>8297</v>
      </c>
      <c r="H22" s="307">
        <v>31354</v>
      </c>
      <c r="I22" s="115">
        <v>18718</v>
      </c>
      <c r="J22" s="307">
        <v>0</v>
      </c>
      <c r="K22" s="308">
        <v>50072</v>
      </c>
    </row>
    <row r="23" spans="1:11" ht="18" customHeight="1" x14ac:dyDescent="0.4">
      <c r="A23" s="1" t="s">
        <v>77</v>
      </c>
      <c r="B23" t="s">
        <v>43</v>
      </c>
      <c r="F23" s="306"/>
      <c r="G23" s="306"/>
      <c r="H23" s="307"/>
      <c r="I23" s="115"/>
      <c r="J23" s="307"/>
      <c r="K23" s="308">
        <v>0</v>
      </c>
    </row>
    <row r="24" spans="1:11" ht="18" customHeight="1" x14ac:dyDescent="0.4">
      <c r="A24" s="1" t="s">
        <v>78</v>
      </c>
      <c r="B24" t="s">
        <v>44</v>
      </c>
      <c r="F24" s="306"/>
      <c r="G24" s="306"/>
      <c r="H24" s="307"/>
      <c r="I24" s="115"/>
      <c r="J24" s="307"/>
      <c r="K24" s="308">
        <v>0</v>
      </c>
    </row>
    <row r="25" spans="1:11" ht="18" customHeight="1" x14ac:dyDescent="0.4">
      <c r="A25" s="1" t="s">
        <v>79</v>
      </c>
      <c r="B25" t="s">
        <v>5</v>
      </c>
      <c r="F25" s="306">
        <v>5744.2</v>
      </c>
      <c r="G25" s="306">
        <v>66462</v>
      </c>
      <c r="H25" s="307">
        <v>347127</v>
      </c>
      <c r="I25" s="115">
        <v>237141</v>
      </c>
      <c r="J25" s="307">
        <v>83483</v>
      </c>
      <c r="K25" s="308">
        <v>500785</v>
      </c>
    </row>
    <row r="26" spans="1:11" ht="18" customHeight="1" x14ac:dyDescent="0.4">
      <c r="A26" s="1" t="s">
        <v>80</v>
      </c>
      <c r="B26" t="s">
        <v>45</v>
      </c>
      <c r="F26" s="306">
        <v>15</v>
      </c>
      <c r="G26" s="306">
        <v>0</v>
      </c>
      <c r="H26" s="307">
        <v>15806</v>
      </c>
      <c r="I26" s="115">
        <v>0</v>
      </c>
      <c r="J26" s="307">
        <v>0</v>
      </c>
      <c r="K26" s="308">
        <v>15806</v>
      </c>
    </row>
    <row r="27" spans="1:11" ht="18" customHeight="1" x14ac:dyDescent="0.4">
      <c r="A27" s="1" t="s">
        <v>81</v>
      </c>
      <c r="B27" t="s">
        <v>455</v>
      </c>
      <c r="F27" s="306"/>
      <c r="G27" s="306"/>
      <c r="H27" s="307"/>
      <c r="I27" s="115"/>
      <c r="J27" s="307"/>
      <c r="K27" s="308">
        <v>0</v>
      </c>
    </row>
    <row r="28" spans="1:11" ht="18" customHeight="1" x14ac:dyDescent="0.4">
      <c r="A28" s="1" t="s">
        <v>82</v>
      </c>
      <c r="B28" t="s">
        <v>47</v>
      </c>
      <c r="F28" s="306"/>
      <c r="G28" s="306"/>
      <c r="H28" s="307"/>
      <c r="I28" s="115"/>
      <c r="J28" s="307"/>
      <c r="K28" s="308">
        <v>0</v>
      </c>
    </row>
    <row r="29" spans="1:11" ht="18" customHeight="1" x14ac:dyDescent="0.4">
      <c r="A29" s="1" t="s">
        <v>83</v>
      </c>
      <c r="B29" t="s">
        <v>48</v>
      </c>
      <c r="F29" s="306">
        <v>31742.5</v>
      </c>
      <c r="G29" s="306">
        <v>12126</v>
      </c>
      <c r="H29" s="307">
        <v>836727</v>
      </c>
      <c r="I29" s="115">
        <v>128868</v>
      </c>
      <c r="J29" s="307">
        <v>0</v>
      </c>
      <c r="K29" s="308">
        <v>965595</v>
      </c>
    </row>
    <row r="30" spans="1:11" ht="18" customHeight="1" x14ac:dyDescent="0.4">
      <c r="A30" s="1" t="s">
        <v>84</v>
      </c>
      <c r="B30" s="630" t="s">
        <v>616</v>
      </c>
      <c r="C30" s="631"/>
      <c r="D30" s="632"/>
      <c r="F30" s="306"/>
      <c r="G30" s="306"/>
      <c r="H30" s="307"/>
      <c r="I30" s="115"/>
      <c r="J30" s="307"/>
      <c r="K30" s="308">
        <v>0</v>
      </c>
    </row>
    <row r="31" spans="1:11" ht="18" customHeight="1" x14ac:dyDescent="0.4">
      <c r="A31" s="1" t="s">
        <v>133</v>
      </c>
      <c r="B31" s="630"/>
      <c r="C31" s="631"/>
      <c r="D31" s="632"/>
      <c r="F31" s="306"/>
      <c r="G31" s="306"/>
      <c r="H31" s="307"/>
      <c r="I31" s="115"/>
      <c r="J31" s="307"/>
      <c r="K31" s="308">
        <v>0</v>
      </c>
    </row>
    <row r="32" spans="1:11" ht="18" customHeight="1" x14ac:dyDescent="0.4">
      <c r="A32" s="1" t="s">
        <v>134</v>
      </c>
      <c r="B32" s="394"/>
      <c r="C32" s="395"/>
      <c r="D32" s="396"/>
      <c r="F32" s="306"/>
      <c r="G32" s="309"/>
      <c r="H32" s="307"/>
      <c r="I32" s="115"/>
      <c r="J32" s="307"/>
      <c r="K32" s="308">
        <v>0</v>
      </c>
    </row>
    <row r="33" spans="1:11" ht="18" customHeight="1" x14ac:dyDescent="0.4">
      <c r="A33" s="1" t="s">
        <v>135</v>
      </c>
      <c r="B33" s="394"/>
      <c r="C33" s="395"/>
      <c r="D33" s="396"/>
      <c r="F33" s="306"/>
      <c r="G33" s="309"/>
      <c r="H33" s="307"/>
      <c r="I33" s="115"/>
      <c r="J33" s="307"/>
      <c r="K33" s="308">
        <v>0</v>
      </c>
    </row>
    <row r="34" spans="1:11" ht="18" customHeight="1" x14ac:dyDescent="0.4">
      <c r="A34" s="1" t="s">
        <v>136</v>
      </c>
      <c r="B34" s="630"/>
      <c r="C34" s="631"/>
      <c r="D34" s="632"/>
      <c r="F34" s="306"/>
      <c r="G34" s="309"/>
      <c r="H34" s="307"/>
      <c r="I34" s="115"/>
      <c r="J34" s="307"/>
      <c r="K34" s="308">
        <v>0</v>
      </c>
    </row>
    <row r="35" spans="1:11" ht="18" customHeight="1" x14ac:dyDescent="0.4">
      <c r="K35" s="397"/>
    </row>
    <row r="36" spans="1:11" ht="18" customHeight="1" x14ac:dyDescent="0.4">
      <c r="A36" s="98" t="s">
        <v>137</v>
      </c>
      <c r="B36" s="95" t="s">
        <v>138</v>
      </c>
      <c r="E36" s="95" t="s">
        <v>7</v>
      </c>
      <c r="F36" s="310">
        <v>38578.699999999997</v>
      </c>
      <c r="G36" s="310">
        <v>88672</v>
      </c>
      <c r="H36" s="310">
        <v>1259138</v>
      </c>
      <c r="I36" s="308">
        <v>396081</v>
      </c>
      <c r="J36" s="308">
        <v>83483</v>
      </c>
      <c r="K36" s="308">
        <v>1571736</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144895.5</v>
      </c>
      <c r="G40" s="306">
        <v>1350</v>
      </c>
      <c r="H40" s="307">
        <v>8789889</v>
      </c>
      <c r="I40" s="115">
        <v>6012284</v>
      </c>
      <c r="J40" s="307">
        <v>0</v>
      </c>
      <c r="K40" s="308">
        <v>14802173</v>
      </c>
    </row>
    <row r="41" spans="1:11" ht="18" customHeight="1" x14ac:dyDescent="0.4">
      <c r="A41" s="1" t="s">
        <v>88</v>
      </c>
      <c r="B41" s="635" t="s">
        <v>50</v>
      </c>
      <c r="C41" s="636"/>
      <c r="F41" s="306">
        <v>6554</v>
      </c>
      <c r="G41" s="306">
        <v>532</v>
      </c>
      <c r="H41" s="307">
        <v>377078</v>
      </c>
      <c r="I41" s="115">
        <v>257921</v>
      </c>
      <c r="J41" s="307">
        <v>0</v>
      </c>
      <c r="K41" s="308">
        <v>634999</v>
      </c>
    </row>
    <row r="42" spans="1:11" ht="18" customHeight="1" x14ac:dyDescent="0.4">
      <c r="A42" s="1" t="s">
        <v>89</v>
      </c>
      <c r="B42" s="94" t="s">
        <v>11</v>
      </c>
      <c r="F42" s="306">
        <v>1954.5</v>
      </c>
      <c r="G42" s="306">
        <v>757</v>
      </c>
      <c r="H42" s="307">
        <v>104011</v>
      </c>
      <c r="I42" s="115">
        <v>71143</v>
      </c>
      <c r="J42" s="307">
        <v>0</v>
      </c>
      <c r="K42" s="308">
        <v>175154</v>
      </c>
    </row>
    <row r="43" spans="1:11" ht="18" customHeight="1" x14ac:dyDescent="0.4">
      <c r="A43" s="1" t="s">
        <v>90</v>
      </c>
      <c r="B43" s="94" t="s">
        <v>10</v>
      </c>
      <c r="F43" s="306"/>
      <c r="G43" s="306"/>
      <c r="H43" s="307"/>
      <c r="I43" s="115"/>
      <c r="J43" s="307"/>
      <c r="K43" s="308">
        <v>0</v>
      </c>
    </row>
    <row r="44" spans="1:11" ht="18" customHeight="1" x14ac:dyDescent="0.4">
      <c r="A44" s="1" t="s">
        <v>91</v>
      </c>
      <c r="B44" s="630"/>
      <c r="C44" s="631"/>
      <c r="D44" s="632"/>
      <c r="F44" s="311"/>
      <c r="G44" s="311"/>
      <c r="H44" s="311"/>
      <c r="I44" s="116"/>
      <c r="J44" s="311"/>
      <c r="K44" s="353">
        <v>0</v>
      </c>
    </row>
    <row r="45" spans="1:11" ht="18" customHeight="1" x14ac:dyDescent="0.4">
      <c r="A45" s="1" t="s">
        <v>139</v>
      </c>
      <c r="B45" s="630"/>
      <c r="C45" s="631"/>
      <c r="D45" s="632"/>
      <c r="F45" s="306"/>
      <c r="G45" s="306"/>
      <c r="H45" s="307"/>
      <c r="I45" s="115"/>
      <c r="J45" s="307"/>
      <c r="K45" s="308">
        <v>0</v>
      </c>
    </row>
    <row r="46" spans="1:11" ht="18" customHeight="1" x14ac:dyDescent="0.4">
      <c r="A46" s="1" t="s">
        <v>140</v>
      </c>
      <c r="B46" s="630"/>
      <c r="C46" s="631"/>
      <c r="D46" s="632"/>
      <c r="F46" s="306"/>
      <c r="G46" s="306"/>
      <c r="H46" s="307"/>
      <c r="I46" s="115"/>
      <c r="J46" s="307"/>
      <c r="K46" s="308">
        <v>0</v>
      </c>
    </row>
    <row r="47" spans="1:11" ht="18" customHeight="1" x14ac:dyDescent="0.4">
      <c r="A47" s="1" t="s">
        <v>141</v>
      </c>
      <c r="B47" s="630"/>
      <c r="C47" s="631"/>
      <c r="D47" s="632"/>
      <c r="F47" s="306"/>
      <c r="G47" s="306"/>
      <c r="H47" s="307"/>
      <c r="I47" s="115"/>
      <c r="J47" s="307"/>
      <c r="K47" s="308">
        <v>0</v>
      </c>
    </row>
    <row r="49" spans="1:11" ht="18" customHeight="1" x14ac:dyDescent="0.4">
      <c r="A49" s="98" t="s">
        <v>142</v>
      </c>
      <c r="B49" s="95" t="s">
        <v>143</v>
      </c>
      <c r="E49" s="95" t="s">
        <v>7</v>
      </c>
      <c r="F49" s="310">
        <v>153404</v>
      </c>
      <c r="G49" s="310">
        <v>2639</v>
      </c>
      <c r="H49" s="310">
        <v>9270978</v>
      </c>
      <c r="I49" s="308">
        <v>6341348</v>
      </c>
      <c r="J49" s="308">
        <v>0</v>
      </c>
      <c r="K49" s="308">
        <v>15612326</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699</v>
      </c>
      <c r="C53" s="659"/>
      <c r="D53" s="654"/>
      <c r="F53" s="306">
        <v>0</v>
      </c>
      <c r="G53" s="306">
        <v>0</v>
      </c>
      <c r="H53" s="307">
        <v>24437446</v>
      </c>
      <c r="I53" s="115">
        <v>0</v>
      </c>
      <c r="J53" s="307">
        <v>12842150</v>
      </c>
      <c r="K53" s="308">
        <v>11595296</v>
      </c>
    </row>
    <row r="54" spans="1:11" ht="18" customHeight="1" x14ac:dyDescent="0.4">
      <c r="A54" s="1" t="s">
        <v>93</v>
      </c>
      <c r="B54" s="400"/>
      <c r="C54" s="401"/>
      <c r="D54" s="402"/>
      <c r="F54" s="306"/>
      <c r="G54" s="306"/>
      <c r="H54" s="307"/>
      <c r="I54" s="115"/>
      <c r="J54" s="307"/>
      <c r="K54" s="308">
        <v>0</v>
      </c>
    </row>
    <row r="55" spans="1:11" ht="18" customHeight="1" x14ac:dyDescent="0.4">
      <c r="A55" s="1" t="s">
        <v>94</v>
      </c>
      <c r="B55" s="655"/>
      <c r="C55" s="653"/>
      <c r="D55" s="654"/>
      <c r="F55" s="306">
        <v>0</v>
      </c>
      <c r="G55" s="306">
        <v>0</v>
      </c>
      <c r="H55" s="307"/>
      <c r="I55" s="115"/>
      <c r="J55" s="307"/>
      <c r="K55" s="308">
        <v>0</v>
      </c>
    </row>
    <row r="56" spans="1:11" ht="18" customHeight="1" x14ac:dyDescent="0.4">
      <c r="A56" s="1" t="s">
        <v>95</v>
      </c>
      <c r="B56" s="655"/>
      <c r="C56" s="653"/>
      <c r="D56" s="654"/>
      <c r="F56" s="306"/>
      <c r="G56" s="306"/>
      <c r="H56" s="307"/>
      <c r="I56" s="115"/>
      <c r="J56" s="307"/>
      <c r="K56" s="308">
        <v>0</v>
      </c>
    </row>
    <row r="57" spans="1:11" ht="18" customHeight="1" x14ac:dyDescent="0.4">
      <c r="A57" s="1" t="s">
        <v>96</v>
      </c>
      <c r="B57" s="655" t="s">
        <v>297</v>
      </c>
      <c r="C57" s="653"/>
      <c r="D57" s="654"/>
      <c r="F57" s="306">
        <v>0</v>
      </c>
      <c r="G57" s="306">
        <v>0</v>
      </c>
      <c r="H57" s="307">
        <v>15846683</v>
      </c>
      <c r="I57" s="115">
        <v>0</v>
      </c>
      <c r="J57" s="307">
        <v>11746013</v>
      </c>
      <c r="K57" s="308">
        <v>4100670</v>
      </c>
    </row>
    <row r="58" spans="1:11" ht="18" customHeight="1" x14ac:dyDescent="0.4">
      <c r="A58" s="1" t="s">
        <v>97</v>
      </c>
      <c r="B58" s="400"/>
      <c r="C58" s="401"/>
      <c r="D58" s="402"/>
      <c r="F58" s="306"/>
      <c r="G58" s="306"/>
      <c r="H58" s="307"/>
      <c r="I58" s="115"/>
      <c r="J58" s="307"/>
      <c r="K58" s="308">
        <v>0</v>
      </c>
    </row>
    <row r="59" spans="1:11" ht="18" customHeight="1" x14ac:dyDescent="0.4">
      <c r="A59" s="1" t="s">
        <v>98</v>
      </c>
      <c r="B59" s="655"/>
      <c r="C59" s="653"/>
      <c r="D59" s="654"/>
      <c r="F59" s="306"/>
      <c r="G59" s="306"/>
      <c r="H59" s="307"/>
      <c r="I59" s="115"/>
      <c r="J59" s="307"/>
      <c r="K59" s="308">
        <v>0</v>
      </c>
    </row>
    <row r="60" spans="1:11" ht="18" customHeight="1" x14ac:dyDescent="0.4">
      <c r="A60" s="1" t="s">
        <v>99</v>
      </c>
      <c r="B60" s="400"/>
      <c r="C60" s="401"/>
      <c r="D60" s="402"/>
      <c r="F60" s="306"/>
      <c r="G60" s="306"/>
      <c r="H60" s="307"/>
      <c r="I60" s="115"/>
      <c r="J60" s="307"/>
      <c r="K60" s="308">
        <v>0</v>
      </c>
    </row>
    <row r="61" spans="1:11" ht="18" customHeight="1" x14ac:dyDescent="0.4">
      <c r="A61" s="1" t="s">
        <v>100</v>
      </c>
      <c r="B61" s="400" t="s">
        <v>341</v>
      </c>
      <c r="C61" s="401"/>
      <c r="D61" s="402"/>
      <c r="F61" s="306">
        <v>0</v>
      </c>
      <c r="G61" s="306">
        <v>0</v>
      </c>
      <c r="H61" s="307">
        <v>439707</v>
      </c>
      <c r="I61" s="115">
        <v>0</v>
      </c>
      <c r="J61" s="307">
        <v>214168</v>
      </c>
      <c r="K61" s="308">
        <v>225539</v>
      </c>
    </row>
    <row r="62" spans="1:11" ht="18" customHeight="1" x14ac:dyDescent="0.4">
      <c r="A62" s="1" t="s">
        <v>101</v>
      </c>
      <c r="B62" s="655"/>
      <c r="C62" s="653"/>
      <c r="D62" s="654"/>
      <c r="F62" s="306"/>
      <c r="G62" s="306"/>
      <c r="H62" s="307"/>
      <c r="I62" s="115"/>
      <c r="J62" s="307"/>
      <c r="K62" s="308">
        <v>0</v>
      </c>
    </row>
    <row r="63" spans="1:11" ht="18" customHeight="1" x14ac:dyDescent="0.4">
      <c r="A63" s="1"/>
      <c r="I63" s="403"/>
    </row>
    <row r="64" spans="1:11" ht="18" customHeight="1" x14ac:dyDescent="0.4">
      <c r="A64" s="1" t="s">
        <v>144</v>
      </c>
      <c r="B64" s="95" t="s">
        <v>145</v>
      </c>
      <c r="E64" s="95" t="s">
        <v>7</v>
      </c>
      <c r="F64" s="310">
        <v>0</v>
      </c>
      <c r="G64" s="310">
        <v>0</v>
      </c>
      <c r="H64" s="308">
        <v>40723836</v>
      </c>
      <c r="I64" s="308">
        <v>0</v>
      </c>
      <c r="J64" s="308">
        <v>24802331</v>
      </c>
      <c r="K64" s="308">
        <v>15921505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c r="J68" s="313"/>
      <c r="K68" s="308">
        <v>0</v>
      </c>
    </row>
    <row r="69" spans="1:11" ht="18" customHeight="1" x14ac:dyDescent="0.4">
      <c r="A69" s="1" t="s">
        <v>104</v>
      </c>
      <c r="B69" s="94" t="s">
        <v>53</v>
      </c>
      <c r="F69" s="313"/>
      <c r="G69" s="313"/>
      <c r="H69" s="313"/>
      <c r="I69" s="115"/>
      <c r="J69" s="313"/>
      <c r="K69" s="308">
        <v>0</v>
      </c>
    </row>
    <row r="70" spans="1:11" ht="18" customHeight="1" x14ac:dyDescent="0.4">
      <c r="A70" s="1" t="s">
        <v>178</v>
      </c>
      <c r="B70" s="400"/>
      <c r="C70" s="401"/>
      <c r="D70" s="402"/>
      <c r="E70" s="95"/>
      <c r="F70" s="104"/>
      <c r="G70" s="104"/>
      <c r="H70" s="105"/>
      <c r="I70" s="115"/>
      <c r="J70" s="105"/>
      <c r="K70" s="308">
        <v>0</v>
      </c>
    </row>
    <row r="71" spans="1:11" ht="18" customHeight="1" x14ac:dyDescent="0.4">
      <c r="A71" s="1" t="s">
        <v>179</v>
      </c>
      <c r="B71" s="400"/>
      <c r="C71" s="401"/>
      <c r="D71" s="402"/>
      <c r="E71" s="95"/>
      <c r="F71" s="104"/>
      <c r="G71" s="104"/>
      <c r="H71" s="105"/>
      <c r="I71" s="115"/>
      <c r="J71" s="105"/>
      <c r="K71" s="308">
        <v>0</v>
      </c>
    </row>
    <row r="72" spans="1:11" ht="18" customHeight="1" x14ac:dyDescent="0.4">
      <c r="A72" s="1" t="s">
        <v>180</v>
      </c>
      <c r="B72" s="406"/>
      <c r="C72" s="407"/>
      <c r="D72" s="408"/>
      <c r="E72" s="95"/>
      <c r="F72" s="306"/>
      <c r="G72" s="306"/>
      <c r="H72" s="307"/>
      <c r="I72" s="115"/>
      <c r="J72" s="307"/>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0</v>
      </c>
      <c r="G74" s="411">
        <v>0</v>
      </c>
      <c r="H74" s="411">
        <v>0</v>
      </c>
      <c r="I74" s="412">
        <v>0</v>
      </c>
      <c r="J74" s="411">
        <v>0</v>
      </c>
      <c r="K74" s="30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10</v>
      </c>
      <c r="H77" s="307">
        <v>25640</v>
      </c>
      <c r="I77" s="115">
        <v>0</v>
      </c>
      <c r="J77" s="307">
        <v>1500</v>
      </c>
      <c r="K77" s="308">
        <v>24140</v>
      </c>
    </row>
    <row r="78" spans="1:11" ht="18" customHeight="1" x14ac:dyDescent="0.4">
      <c r="A78" s="1" t="s">
        <v>108</v>
      </c>
      <c r="B78" s="94" t="s">
        <v>55</v>
      </c>
      <c r="F78" s="306"/>
      <c r="G78" s="306"/>
      <c r="H78" s="307">
        <v>48531</v>
      </c>
      <c r="I78" s="115"/>
      <c r="J78" s="307"/>
      <c r="K78" s="308">
        <v>48531</v>
      </c>
    </row>
    <row r="79" spans="1:11" ht="18" customHeight="1" x14ac:dyDescent="0.4">
      <c r="A79" s="1" t="s">
        <v>109</v>
      </c>
      <c r="B79" s="94" t="s">
        <v>13</v>
      </c>
      <c r="F79" s="306">
        <v>291</v>
      </c>
      <c r="G79" s="306">
        <v>2582</v>
      </c>
      <c r="H79" s="307">
        <v>41694</v>
      </c>
      <c r="I79" s="115">
        <v>3958</v>
      </c>
      <c r="J79" s="307">
        <v>400</v>
      </c>
      <c r="K79" s="308">
        <v>45252</v>
      </c>
    </row>
    <row r="80" spans="1:11" ht="18" customHeight="1" x14ac:dyDescent="0.4">
      <c r="A80" s="1" t="s">
        <v>110</v>
      </c>
      <c r="B80" s="94" t="s">
        <v>56</v>
      </c>
      <c r="F80" s="306"/>
      <c r="G80" s="306"/>
      <c r="H80" s="307"/>
      <c r="I80" s="115"/>
      <c r="J80" s="307"/>
      <c r="K80" s="308">
        <v>0</v>
      </c>
    </row>
    <row r="81" spans="1:11" ht="18" customHeight="1" x14ac:dyDescent="0.4">
      <c r="A81" s="1"/>
      <c r="K81" s="315"/>
    </row>
    <row r="82" spans="1:11" ht="18" customHeight="1" x14ac:dyDescent="0.4">
      <c r="A82" s="1" t="s">
        <v>148</v>
      </c>
      <c r="B82" s="95" t="s">
        <v>149</v>
      </c>
      <c r="E82" s="95" t="s">
        <v>7</v>
      </c>
      <c r="F82" s="411">
        <v>291</v>
      </c>
      <c r="G82" s="411">
        <v>2592</v>
      </c>
      <c r="H82" s="308">
        <v>115865</v>
      </c>
      <c r="I82" s="308">
        <v>3958</v>
      </c>
      <c r="J82" s="308">
        <v>1900</v>
      </c>
      <c r="K82" s="308">
        <v>117923</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c r="J86" s="307"/>
      <c r="K86" s="308">
        <v>0</v>
      </c>
    </row>
    <row r="87" spans="1:11" ht="18" customHeight="1" x14ac:dyDescent="0.4">
      <c r="A87" s="1" t="s">
        <v>114</v>
      </c>
      <c r="B87" s="94" t="s">
        <v>14</v>
      </c>
      <c r="F87" s="306"/>
      <c r="G87" s="306"/>
      <c r="H87" s="307"/>
      <c r="I87" s="115"/>
      <c r="J87" s="307"/>
      <c r="K87" s="308">
        <v>0</v>
      </c>
    </row>
    <row r="88" spans="1:11" ht="18" customHeight="1" x14ac:dyDescent="0.4">
      <c r="A88" s="1" t="s">
        <v>115</v>
      </c>
      <c r="B88" s="94" t="s">
        <v>116</v>
      </c>
      <c r="F88" s="306">
        <v>777</v>
      </c>
      <c r="G88" s="306">
        <v>1760</v>
      </c>
      <c r="H88" s="307">
        <v>30932</v>
      </c>
      <c r="I88" s="115">
        <v>20935</v>
      </c>
      <c r="J88" s="307">
        <v>29005</v>
      </c>
      <c r="K88" s="308">
        <v>22862</v>
      </c>
    </row>
    <row r="89" spans="1:11" ht="18" customHeight="1" x14ac:dyDescent="0.4">
      <c r="A89" s="1" t="s">
        <v>117</v>
      </c>
      <c r="B89" s="94" t="s">
        <v>58</v>
      </c>
      <c r="F89" s="306">
        <v>88</v>
      </c>
      <c r="G89" s="306">
        <v>0</v>
      </c>
      <c r="H89" s="307">
        <v>55198</v>
      </c>
      <c r="I89" s="115">
        <v>37755</v>
      </c>
      <c r="J89" s="307">
        <v>0</v>
      </c>
      <c r="K89" s="308">
        <v>92953</v>
      </c>
    </row>
    <row r="90" spans="1:11" ht="18" customHeight="1" x14ac:dyDescent="0.4">
      <c r="A90" s="1" t="s">
        <v>118</v>
      </c>
      <c r="B90" s="635" t="s">
        <v>59</v>
      </c>
      <c r="C90" s="636"/>
      <c r="F90" s="306"/>
      <c r="G90" s="306"/>
      <c r="H90" s="307"/>
      <c r="I90" s="115"/>
      <c r="J90" s="307"/>
      <c r="K90" s="308">
        <v>0</v>
      </c>
    </row>
    <row r="91" spans="1:11" ht="18" customHeight="1" x14ac:dyDescent="0.4">
      <c r="A91" s="1" t="s">
        <v>119</v>
      </c>
      <c r="B91" s="94" t="s">
        <v>60</v>
      </c>
      <c r="F91" s="306">
        <v>44</v>
      </c>
      <c r="G91" s="306">
        <v>0</v>
      </c>
      <c r="H91" s="307">
        <v>2269</v>
      </c>
      <c r="I91" s="115">
        <v>0</v>
      </c>
      <c r="J91" s="307">
        <v>0</v>
      </c>
      <c r="K91" s="308">
        <v>2269</v>
      </c>
    </row>
    <row r="92" spans="1:11" ht="18" customHeight="1" x14ac:dyDescent="0.4">
      <c r="A92" s="1" t="s">
        <v>120</v>
      </c>
      <c r="B92" s="94" t="s">
        <v>121</v>
      </c>
      <c r="F92" s="107">
        <v>10</v>
      </c>
      <c r="G92" s="107">
        <v>36</v>
      </c>
      <c r="H92" s="108">
        <v>26947</v>
      </c>
      <c r="I92" s="115">
        <v>0</v>
      </c>
      <c r="J92" s="108">
        <v>0</v>
      </c>
      <c r="K92" s="308">
        <v>26947</v>
      </c>
    </row>
    <row r="93" spans="1:11" ht="18" customHeight="1" x14ac:dyDescent="0.4">
      <c r="A93" s="1" t="s">
        <v>122</v>
      </c>
      <c r="B93" s="94" t="s">
        <v>123</v>
      </c>
      <c r="F93" s="306">
        <v>43</v>
      </c>
      <c r="G93" s="306">
        <v>250</v>
      </c>
      <c r="H93" s="307">
        <v>322663</v>
      </c>
      <c r="I93" s="115">
        <v>1126</v>
      </c>
      <c r="J93" s="307">
        <v>0</v>
      </c>
      <c r="K93" s="308">
        <v>323789</v>
      </c>
    </row>
    <row r="94" spans="1:11" ht="18" customHeight="1" x14ac:dyDescent="0.4">
      <c r="A94" s="1" t="s">
        <v>124</v>
      </c>
      <c r="B94" s="652" t="s">
        <v>229</v>
      </c>
      <c r="C94" s="653"/>
      <c r="D94" s="654"/>
      <c r="F94" s="306">
        <v>22</v>
      </c>
      <c r="G94" s="306">
        <v>150</v>
      </c>
      <c r="H94" s="307">
        <v>4135</v>
      </c>
      <c r="I94" s="115">
        <v>2828</v>
      </c>
      <c r="J94" s="307"/>
      <c r="K94" s="308">
        <v>6963</v>
      </c>
    </row>
    <row r="95" spans="1:11" ht="18" customHeight="1" x14ac:dyDescent="0.4">
      <c r="A95" s="1" t="s">
        <v>125</v>
      </c>
      <c r="B95" s="655"/>
      <c r="C95" s="653"/>
      <c r="D95" s="654"/>
      <c r="F95" s="306"/>
      <c r="G95" s="306"/>
      <c r="H95" s="307"/>
      <c r="I95" s="115"/>
      <c r="J95" s="307"/>
      <c r="K95" s="308">
        <v>0</v>
      </c>
    </row>
    <row r="96" spans="1:11" ht="18" customHeight="1" x14ac:dyDescent="0.4">
      <c r="A96" s="1" t="s">
        <v>126</v>
      </c>
      <c r="B96" s="655"/>
      <c r="C96" s="653"/>
      <c r="D96" s="654"/>
      <c r="F96" s="306"/>
      <c r="G96" s="306"/>
      <c r="H96" s="307"/>
      <c r="I96" s="115"/>
      <c r="J96" s="307"/>
      <c r="K96" s="308">
        <v>0</v>
      </c>
    </row>
    <row r="97" spans="1:11" ht="18" customHeight="1" x14ac:dyDescent="0.4">
      <c r="A97" s="1"/>
      <c r="B97" s="94"/>
    </row>
    <row r="98" spans="1:11" ht="18" customHeight="1" x14ac:dyDescent="0.4">
      <c r="A98" s="98" t="s">
        <v>150</v>
      </c>
      <c r="B98" s="95" t="s">
        <v>151</v>
      </c>
      <c r="E98" s="95" t="s">
        <v>7</v>
      </c>
      <c r="F98" s="310">
        <v>984</v>
      </c>
      <c r="G98" s="310">
        <v>2196</v>
      </c>
      <c r="H98" s="310">
        <v>442144</v>
      </c>
      <c r="I98" s="310">
        <v>62644</v>
      </c>
      <c r="J98" s="310">
        <v>29005</v>
      </c>
      <c r="K98" s="310">
        <v>475783</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2576</v>
      </c>
      <c r="G102" s="306">
        <v>0</v>
      </c>
      <c r="H102" s="307">
        <v>198671</v>
      </c>
      <c r="I102" s="115">
        <v>107686</v>
      </c>
      <c r="J102" s="307"/>
      <c r="K102" s="308">
        <v>306357</v>
      </c>
    </row>
    <row r="103" spans="1:11" ht="18" customHeight="1" x14ac:dyDescent="0.4">
      <c r="A103" s="1" t="s">
        <v>132</v>
      </c>
      <c r="B103" s="635" t="s">
        <v>62</v>
      </c>
      <c r="C103" s="635"/>
      <c r="F103" s="306">
        <v>60</v>
      </c>
      <c r="G103" s="306">
        <v>0</v>
      </c>
      <c r="H103" s="307">
        <v>2217</v>
      </c>
      <c r="I103" s="115">
        <v>1516</v>
      </c>
      <c r="J103" s="307">
        <v>0</v>
      </c>
      <c r="K103" s="308">
        <v>3733</v>
      </c>
    </row>
    <row r="104" spans="1:11" ht="18" customHeight="1" x14ac:dyDescent="0.4">
      <c r="A104" s="1" t="s">
        <v>128</v>
      </c>
      <c r="B104" s="655" t="s">
        <v>617</v>
      </c>
      <c r="C104" s="653"/>
      <c r="D104" s="654"/>
      <c r="F104" s="306">
        <v>0</v>
      </c>
      <c r="G104" s="306">
        <v>0</v>
      </c>
      <c r="H104" s="307">
        <v>117685</v>
      </c>
      <c r="I104" s="115">
        <v>0</v>
      </c>
      <c r="J104" s="307"/>
      <c r="K104" s="308">
        <v>117685</v>
      </c>
    </row>
    <row r="105" spans="1:11" ht="18" customHeight="1" x14ac:dyDescent="0.4">
      <c r="A105" s="1" t="s">
        <v>127</v>
      </c>
      <c r="B105" s="655"/>
      <c r="C105" s="653"/>
      <c r="D105" s="654"/>
      <c r="F105" s="306"/>
      <c r="G105" s="306"/>
      <c r="H105" s="307"/>
      <c r="I105" s="115"/>
      <c r="J105" s="307"/>
      <c r="K105" s="308">
        <v>0</v>
      </c>
    </row>
    <row r="106" spans="1:11" ht="18" customHeight="1" x14ac:dyDescent="0.4">
      <c r="A106" s="1" t="s">
        <v>129</v>
      </c>
      <c r="B106" s="655"/>
      <c r="C106" s="653"/>
      <c r="D106" s="654"/>
      <c r="F106" s="306"/>
      <c r="G106" s="306"/>
      <c r="H106" s="307"/>
      <c r="I106" s="115"/>
      <c r="J106" s="307"/>
      <c r="K106" s="308">
        <v>0</v>
      </c>
    </row>
    <row r="107" spans="1:11" ht="18" customHeight="1" x14ac:dyDescent="0.4">
      <c r="B107" s="95"/>
    </row>
    <row r="108" spans="1:11" ht="18" customHeight="1" x14ac:dyDescent="0.4">
      <c r="A108" s="98" t="s">
        <v>153</v>
      </c>
      <c r="B108" s="95" t="s">
        <v>154</v>
      </c>
      <c r="E108" s="95" t="s">
        <v>7</v>
      </c>
      <c r="F108" s="310">
        <v>2636</v>
      </c>
      <c r="G108" s="310">
        <v>0</v>
      </c>
      <c r="H108" s="308">
        <v>318573</v>
      </c>
      <c r="I108" s="308">
        <v>109202</v>
      </c>
      <c r="J108" s="308">
        <v>0</v>
      </c>
      <c r="K108" s="308">
        <v>427775</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19">
        <v>12318684</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0.68400000000000005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19">
        <v>580162665</v>
      </c>
    </row>
    <row r="118" spans="1:6" ht="18" customHeight="1" x14ac:dyDescent="0.4">
      <c r="A118" s="1" t="s">
        <v>173</v>
      </c>
      <c r="B118" t="s">
        <v>18</v>
      </c>
      <c r="F118" s="319">
        <v>18277971</v>
      </c>
    </row>
    <row r="119" spans="1:6" ht="18" customHeight="1" x14ac:dyDescent="0.4">
      <c r="A119" s="1" t="s">
        <v>174</v>
      </c>
      <c r="B119" s="95" t="s">
        <v>19</v>
      </c>
      <c r="F119" s="351">
        <v>598440636</v>
      </c>
    </row>
    <row r="120" spans="1:6" ht="18" customHeight="1" x14ac:dyDescent="0.4">
      <c r="A120" s="1"/>
      <c r="B120" s="95"/>
      <c r="F120" s="87"/>
    </row>
    <row r="121" spans="1:6" ht="18" customHeight="1" x14ac:dyDescent="0.4">
      <c r="A121" s="1" t="s">
        <v>167</v>
      </c>
      <c r="B121" s="95" t="s">
        <v>36</v>
      </c>
      <c r="F121" s="319">
        <v>549838800</v>
      </c>
    </row>
    <row r="122" spans="1:6" ht="18" customHeight="1" x14ac:dyDescent="0.4">
      <c r="A122" s="1"/>
      <c r="F122" s="87"/>
    </row>
    <row r="123" spans="1:6" ht="18" customHeight="1" x14ac:dyDescent="0.4">
      <c r="A123" s="1" t="s">
        <v>175</v>
      </c>
      <c r="B123" s="95" t="s">
        <v>20</v>
      </c>
      <c r="F123" s="319">
        <v>48601836</v>
      </c>
    </row>
    <row r="124" spans="1:6" ht="18" customHeight="1" x14ac:dyDescent="0.4">
      <c r="A124" s="1"/>
      <c r="F124" s="87"/>
    </row>
    <row r="125" spans="1:6" ht="18" customHeight="1" x14ac:dyDescent="0.4">
      <c r="A125" s="1" t="s">
        <v>176</v>
      </c>
      <c r="B125" s="95" t="s">
        <v>21</v>
      </c>
      <c r="F125" s="319">
        <v>-507611</v>
      </c>
    </row>
    <row r="126" spans="1:6" ht="18" customHeight="1" x14ac:dyDescent="0.4">
      <c r="A126" s="1"/>
      <c r="F126" s="87"/>
    </row>
    <row r="127" spans="1:6" ht="18" customHeight="1" x14ac:dyDescent="0.4">
      <c r="A127" s="1" t="s">
        <v>177</v>
      </c>
      <c r="B127" s="95" t="s">
        <v>22</v>
      </c>
      <c r="F127" s="319">
        <v>48094225</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v>38578.699999999997</v>
      </c>
      <c r="G141" s="109">
        <v>88672</v>
      </c>
      <c r="H141" s="109">
        <v>1259138</v>
      </c>
      <c r="I141" s="109">
        <v>396081</v>
      </c>
      <c r="J141" s="109">
        <v>83483</v>
      </c>
      <c r="K141" s="109">
        <v>1571736</v>
      </c>
    </row>
    <row r="142" spans="1:11" ht="18" customHeight="1" x14ac:dyDescent="0.4">
      <c r="A142" s="1" t="s">
        <v>142</v>
      </c>
      <c r="B142" s="95" t="s">
        <v>65</v>
      </c>
      <c r="F142" s="109">
        <v>153404</v>
      </c>
      <c r="G142" s="109">
        <v>2639</v>
      </c>
      <c r="H142" s="109">
        <v>9270978</v>
      </c>
      <c r="I142" s="109">
        <v>6341348</v>
      </c>
      <c r="J142" s="109">
        <v>0</v>
      </c>
      <c r="K142" s="109">
        <v>15612326</v>
      </c>
    </row>
    <row r="143" spans="1:11" ht="18" customHeight="1" x14ac:dyDescent="0.4">
      <c r="A143" s="1" t="s">
        <v>144</v>
      </c>
      <c r="B143" s="95" t="s">
        <v>66</v>
      </c>
      <c r="F143" s="109">
        <v>0</v>
      </c>
      <c r="G143" s="109">
        <v>0</v>
      </c>
      <c r="H143" s="109">
        <v>40723836</v>
      </c>
      <c r="I143" s="109">
        <v>0</v>
      </c>
      <c r="J143" s="109">
        <v>24802331</v>
      </c>
      <c r="K143" s="109">
        <v>15921505</v>
      </c>
    </row>
    <row r="144" spans="1:11" ht="18" customHeight="1" x14ac:dyDescent="0.4">
      <c r="A144" s="1" t="s">
        <v>146</v>
      </c>
      <c r="B144" s="95" t="s">
        <v>67</v>
      </c>
      <c r="F144" s="109">
        <v>0</v>
      </c>
      <c r="G144" s="109">
        <v>0</v>
      </c>
      <c r="H144" s="109">
        <v>0</v>
      </c>
      <c r="I144" s="109">
        <v>0</v>
      </c>
      <c r="J144" s="109">
        <v>0</v>
      </c>
      <c r="K144" s="109">
        <v>0</v>
      </c>
    </row>
    <row r="145" spans="1:11" ht="18" customHeight="1" x14ac:dyDescent="0.4">
      <c r="A145" s="1" t="s">
        <v>148</v>
      </c>
      <c r="B145" s="95" t="s">
        <v>68</v>
      </c>
      <c r="F145" s="109">
        <v>291</v>
      </c>
      <c r="G145" s="109">
        <v>2592</v>
      </c>
      <c r="H145" s="109">
        <v>115865</v>
      </c>
      <c r="I145" s="109">
        <v>3958</v>
      </c>
      <c r="J145" s="109">
        <v>1900</v>
      </c>
      <c r="K145" s="109">
        <v>117923</v>
      </c>
    </row>
    <row r="146" spans="1:11" ht="18" customHeight="1" x14ac:dyDescent="0.4">
      <c r="A146" s="1" t="s">
        <v>150</v>
      </c>
      <c r="B146" s="95" t="s">
        <v>69</v>
      </c>
      <c r="F146" s="109">
        <v>984</v>
      </c>
      <c r="G146" s="109">
        <v>2196</v>
      </c>
      <c r="H146" s="109">
        <v>442144</v>
      </c>
      <c r="I146" s="109">
        <v>62644</v>
      </c>
      <c r="J146" s="109">
        <v>29005</v>
      </c>
      <c r="K146" s="109">
        <v>475783</v>
      </c>
    </row>
    <row r="147" spans="1:11" ht="18" customHeight="1" x14ac:dyDescent="0.4">
      <c r="A147" s="1" t="s">
        <v>153</v>
      </c>
      <c r="B147" s="95" t="s">
        <v>61</v>
      </c>
      <c r="F147" s="310">
        <v>2636</v>
      </c>
      <c r="G147" s="310">
        <v>0</v>
      </c>
      <c r="H147" s="310">
        <v>318573</v>
      </c>
      <c r="I147" s="310">
        <v>109202</v>
      </c>
      <c r="J147" s="310">
        <v>0</v>
      </c>
      <c r="K147" s="310">
        <v>427775</v>
      </c>
    </row>
    <row r="148" spans="1:11" ht="18" customHeight="1" x14ac:dyDescent="0.4">
      <c r="A148" s="1" t="s">
        <v>155</v>
      </c>
      <c r="B148" s="95" t="s">
        <v>70</v>
      </c>
      <c r="F148" s="110" t="s">
        <v>73</v>
      </c>
      <c r="G148" s="110" t="s">
        <v>73</v>
      </c>
      <c r="H148" s="111" t="s">
        <v>73</v>
      </c>
      <c r="I148" s="111" t="s">
        <v>73</v>
      </c>
      <c r="J148" s="111" t="s">
        <v>73</v>
      </c>
      <c r="K148" s="106">
        <v>12318684</v>
      </c>
    </row>
    <row r="149" spans="1:11" ht="18" customHeight="1" x14ac:dyDescent="0.4">
      <c r="A149" s="1" t="s">
        <v>163</v>
      </c>
      <c r="B149" s="95" t="s">
        <v>71</v>
      </c>
      <c r="F149" s="310">
        <v>0</v>
      </c>
      <c r="G149" s="310">
        <v>0</v>
      </c>
      <c r="H149" s="310">
        <v>0</v>
      </c>
      <c r="I149" s="310">
        <v>0</v>
      </c>
      <c r="J149" s="310">
        <v>0</v>
      </c>
      <c r="K149" s="310">
        <v>0</v>
      </c>
    </row>
    <row r="150" spans="1:11" ht="18" customHeight="1" x14ac:dyDescent="0.4">
      <c r="A150" s="1" t="s">
        <v>185</v>
      </c>
      <c r="B150" s="95" t="s">
        <v>186</v>
      </c>
      <c r="F150" s="110" t="s">
        <v>73</v>
      </c>
      <c r="G150" s="110" t="s">
        <v>73</v>
      </c>
      <c r="H150" s="307">
        <v>10676970.060000001</v>
      </c>
      <c r="I150" s="115">
        <v>0</v>
      </c>
      <c r="J150" s="307">
        <v>8848754.1199999992</v>
      </c>
      <c r="K150" s="308">
        <f>H150-J150</f>
        <v>1828215.9400000013</v>
      </c>
    </row>
    <row r="151" spans="1:11" ht="18" customHeight="1" x14ac:dyDescent="0.4">
      <c r="B151" s="95"/>
      <c r="F151" s="113"/>
      <c r="G151" s="113"/>
      <c r="H151" s="113"/>
      <c r="I151" s="113"/>
      <c r="J151" s="113"/>
      <c r="K151" s="113"/>
    </row>
    <row r="152" spans="1:11" ht="18" customHeight="1" x14ac:dyDescent="0.4">
      <c r="A152" s="98" t="s">
        <v>165</v>
      </c>
      <c r="B152" s="95" t="s">
        <v>26</v>
      </c>
      <c r="F152" s="114">
        <v>195893.7</v>
      </c>
      <c r="G152" s="114">
        <v>96099</v>
      </c>
      <c r="H152" s="114">
        <f>SUM(H141:H150)</f>
        <v>62807504.060000002</v>
      </c>
      <c r="I152" s="114">
        <f t="shared" ref="I152:K152" si="0">SUM(I141:I150)</f>
        <v>6913233</v>
      </c>
      <c r="J152" s="114">
        <f t="shared" si="0"/>
        <v>33765473.119999997</v>
      </c>
      <c r="K152" s="114">
        <f t="shared" si="0"/>
        <v>48273947.939999998</v>
      </c>
    </row>
    <row r="154" spans="1:11" ht="18" customHeight="1" x14ac:dyDescent="0.4">
      <c r="A154" s="98" t="s">
        <v>168</v>
      </c>
      <c r="B154" s="95" t="s">
        <v>28</v>
      </c>
      <c r="F154" s="318">
        <v>8.7775497109334591E-2</v>
      </c>
      <c r="H154" s="189"/>
      <c r="I154" s="189"/>
      <c r="J154" s="189"/>
      <c r="K154" s="189"/>
    </row>
    <row r="155" spans="1:11" ht="18" customHeight="1" x14ac:dyDescent="0.4">
      <c r="A155" s="98" t="s">
        <v>169</v>
      </c>
      <c r="B155" s="95" t="s">
        <v>72</v>
      </c>
      <c r="F155" s="318">
        <v>1.0034962409727988</v>
      </c>
      <c r="G155" s="95"/>
      <c r="H155" s="189"/>
    </row>
    <row r="156" spans="1:11" ht="18" customHeight="1" x14ac:dyDescent="0.4">
      <c r="G156" s="95"/>
      <c r="H156" s="189"/>
    </row>
  </sheetData>
  <mergeCells count="34">
    <mergeCell ref="B106:D106"/>
    <mergeCell ref="B133:D133"/>
    <mergeCell ref="B134:D134"/>
    <mergeCell ref="B135:D135"/>
    <mergeCell ref="B105:D105"/>
    <mergeCell ref="B96:D96"/>
    <mergeCell ref="B103:C103"/>
    <mergeCell ref="B104:D104"/>
    <mergeCell ref="B90:C90"/>
    <mergeCell ref="B53:D53"/>
    <mergeCell ref="B55:D55"/>
    <mergeCell ref="B56:D56"/>
    <mergeCell ref="B46:D46"/>
    <mergeCell ref="B47:D47"/>
    <mergeCell ref="B52:C52"/>
    <mergeCell ref="B94:D94"/>
    <mergeCell ref="B95:D95"/>
    <mergeCell ref="B57:D57"/>
    <mergeCell ref="B59:D59"/>
    <mergeCell ref="B62:D62"/>
    <mergeCell ref="B44:D44"/>
    <mergeCell ref="B45:D45"/>
    <mergeCell ref="B41:C41"/>
    <mergeCell ref="D2:H2"/>
    <mergeCell ref="C5:G5"/>
    <mergeCell ref="C6:G6"/>
    <mergeCell ref="C7:G7"/>
    <mergeCell ref="C9:G9"/>
    <mergeCell ref="C10:G10"/>
    <mergeCell ref="C11:G11"/>
    <mergeCell ref="B30:D30"/>
    <mergeCell ref="B31:D31"/>
    <mergeCell ref="B34:D34"/>
    <mergeCell ref="B13:H13"/>
  </mergeCells>
  <pageMargins left="0.7" right="0.7" top="0.75" bottom="0.75" header="0.3" footer="0.3"/>
  <pageSetup scale="55" orientation="landscape" r:id="rId1"/>
  <headerFooter>
    <oddFooter>&amp;L&amp;Z&amp;F&amp;A&amp;R&amp;P of &amp;N</oddFooter>
  </headerFooter>
  <rowBreaks count="2" manualBreakCount="2">
    <brk id="85" max="10" man="1"/>
    <brk id="11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K156"/>
  <sheetViews>
    <sheetView showGridLines="0" topLeftCell="A136" zoomScale="85" zoomScaleNormal="85" zoomScaleSheetLayoutView="70" workbookViewId="0">
      <selection activeCell="H152" sqref="H152"/>
    </sheetView>
  </sheetViews>
  <sheetFormatPr defaultColWidth="8.71875" defaultRowHeight="18" customHeight="1" x14ac:dyDescent="0.4"/>
  <cols>
    <col min="1" max="1" width="8.27734375" style="93" customWidth="1"/>
    <col min="2" max="2" width="42.1640625" bestFit="1" customWidth="1"/>
    <col min="3" max="3" width="9.5546875" customWidth="1"/>
    <col min="5" max="5" width="7.1640625" bestFit="1" customWidth="1"/>
    <col min="6" max="6" width="14.83203125" bestFit="1" customWidth="1"/>
    <col min="7" max="7" width="18.5546875" bestFit="1" customWidth="1"/>
    <col min="8" max="8" width="15.71875" bestFit="1" customWidth="1"/>
    <col min="9" max="9" width="17.71875" bestFit="1" customWidth="1"/>
    <col min="10" max="10" width="12.71875" bestFit="1" customWidth="1"/>
    <col min="11" max="11" width="16.5546875" bestFit="1"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700</v>
      </c>
      <c r="D5" s="666"/>
      <c r="E5" s="666"/>
      <c r="F5" s="666"/>
      <c r="G5" s="667"/>
    </row>
    <row r="6" spans="1:11" ht="18" customHeight="1" x14ac:dyDescent="0.4">
      <c r="B6" s="1" t="s">
        <v>3</v>
      </c>
      <c r="C6" s="683">
        <v>210016</v>
      </c>
      <c r="D6" s="684"/>
      <c r="E6" s="684"/>
      <c r="F6" s="684"/>
      <c r="G6" s="685"/>
    </row>
    <row r="7" spans="1:11" ht="18" customHeight="1" x14ac:dyDescent="0.4">
      <c r="B7" s="1" t="s">
        <v>4</v>
      </c>
      <c r="C7" s="686">
        <v>1273</v>
      </c>
      <c r="D7" s="687"/>
      <c r="E7" s="687"/>
      <c r="F7" s="687"/>
      <c r="G7" s="688"/>
    </row>
    <row r="9" spans="1:11" ht="18" customHeight="1" x14ac:dyDescent="0.4">
      <c r="B9" s="1" t="s">
        <v>1</v>
      </c>
      <c r="C9" s="663" t="s">
        <v>500</v>
      </c>
      <c r="D9" s="666"/>
      <c r="E9" s="666"/>
      <c r="F9" s="666"/>
      <c r="G9" s="667"/>
    </row>
    <row r="10" spans="1:11" ht="18" customHeight="1" x14ac:dyDescent="0.4">
      <c r="B10" s="1" t="s">
        <v>2</v>
      </c>
      <c r="C10" s="660" t="s">
        <v>501</v>
      </c>
      <c r="D10" s="661"/>
      <c r="E10" s="661"/>
      <c r="F10" s="661"/>
      <c r="G10" s="662"/>
    </row>
    <row r="11" spans="1:11" ht="18" customHeight="1" x14ac:dyDescent="0.4">
      <c r="B11" s="1" t="s">
        <v>32</v>
      </c>
      <c r="C11" s="663" t="s">
        <v>502</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5532933.8899999997</v>
      </c>
      <c r="I18" s="115">
        <v>0</v>
      </c>
      <c r="J18" s="307">
        <v>4585530.47</v>
      </c>
      <c r="K18" s="308">
        <f>(H18+I18)-J18</f>
        <v>947403.41999999993</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2605.4023429868375</v>
      </c>
      <c r="G21" s="306">
        <v>2497.1810567093862</v>
      </c>
      <c r="H21" s="307">
        <v>141114.84762992008</v>
      </c>
      <c r="I21" s="115">
        <f t="shared" ref="I21:I34" si="0">H21*F$114</f>
        <v>96198.330304950839</v>
      </c>
      <c r="J21" s="307"/>
      <c r="K21" s="308">
        <f t="shared" ref="K21:K34" si="1">(H21+I21)-J21</f>
        <v>237313.17793487094</v>
      </c>
    </row>
    <row r="22" spans="1:11" ht="18" customHeight="1" x14ac:dyDescent="0.4">
      <c r="A22" s="1" t="s">
        <v>76</v>
      </c>
      <c r="B22" t="s">
        <v>6</v>
      </c>
      <c r="F22" s="306">
        <v>685.19052000000011</v>
      </c>
      <c r="G22" s="306"/>
      <c r="H22" s="307">
        <v>75174.090288150008</v>
      </c>
      <c r="I22" s="115">
        <f t="shared" si="0"/>
        <v>51246.357767248555</v>
      </c>
      <c r="J22" s="307"/>
      <c r="K22" s="308">
        <f t="shared" si="1"/>
        <v>126420.44805539856</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276.72764289178076</v>
      </c>
      <c r="G24" s="306">
        <v>1153.2507622386061</v>
      </c>
      <c r="H24" s="307">
        <v>829884.02</v>
      </c>
      <c r="I24" s="115">
        <f t="shared" si="0"/>
        <v>565733.92815564806</v>
      </c>
      <c r="J24" s="307"/>
      <c r="K24" s="308">
        <f t="shared" si="1"/>
        <v>1395617.9481556481</v>
      </c>
    </row>
    <row r="25" spans="1:11" ht="18" customHeight="1" x14ac:dyDescent="0.4">
      <c r="A25" s="1" t="s">
        <v>79</v>
      </c>
      <c r="B25" t="s">
        <v>5</v>
      </c>
      <c r="F25" s="306">
        <v>1130.4064800000001</v>
      </c>
      <c r="G25" s="306"/>
      <c r="H25" s="307">
        <v>50612.172886799999</v>
      </c>
      <c r="I25" s="115">
        <f t="shared" si="0"/>
        <v>34502.439726146491</v>
      </c>
      <c r="J25" s="307"/>
      <c r="K25" s="308">
        <f t="shared" si="1"/>
        <v>85114.612612946483</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8900.9630625646496</v>
      </c>
      <c r="G29" s="306">
        <v>12076.591802020881</v>
      </c>
      <c r="H29" s="307">
        <v>3685786.4191886513</v>
      </c>
      <c r="I29" s="115">
        <v>764532.18575219286</v>
      </c>
      <c r="J29" s="307">
        <v>730662.5</v>
      </c>
      <c r="K29" s="308">
        <f t="shared" si="1"/>
        <v>3719656.1049408438</v>
      </c>
    </row>
    <row r="30" spans="1:11" ht="18" customHeight="1" x14ac:dyDescent="0.4">
      <c r="A30" s="1" t="s">
        <v>84</v>
      </c>
      <c r="B30" s="630" t="s">
        <v>190</v>
      </c>
      <c r="C30" s="631"/>
      <c r="D30" s="632"/>
      <c r="F30" s="306">
        <v>46</v>
      </c>
      <c r="G30" s="306">
        <v>92</v>
      </c>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13644.690048443268</v>
      </c>
      <c r="G36" s="310">
        <f t="shared" si="2"/>
        <v>15819.023620968874</v>
      </c>
      <c r="H36" s="310">
        <f t="shared" si="2"/>
        <v>4782571.5499935215</v>
      </c>
      <c r="I36" s="308">
        <f t="shared" si="2"/>
        <v>1512213.2417061869</v>
      </c>
      <c r="J36" s="308">
        <f t="shared" si="2"/>
        <v>730662.5</v>
      </c>
      <c r="K36" s="308">
        <f t="shared" si="2"/>
        <v>5564122.2916997075</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2136.499999999995</v>
      </c>
      <c r="G40" s="306">
        <v>4222</v>
      </c>
      <c r="H40" s="307">
        <v>212083.49999999977</v>
      </c>
      <c r="I40" s="115">
        <v>0</v>
      </c>
      <c r="J40" s="307">
        <v>43200</v>
      </c>
      <c r="K40" s="308">
        <f t="shared" ref="K40:K47" si="3">(H40+I40)-J40</f>
        <v>168883.49999999977</v>
      </c>
    </row>
    <row r="41" spans="1:11" ht="18" customHeight="1" x14ac:dyDescent="0.4">
      <c r="A41" s="1" t="s">
        <v>88</v>
      </c>
      <c r="B41" s="635" t="s">
        <v>50</v>
      </c>
      <c r="C41" s="636"/>
      <c r="F41" s="306">
        <v>8683.3196039999893</v>
      </c>
      <c r="G41" s="306">
        <v>5339.2499999675592</v>
      </c>
      <c r="H41" s="307">
        <v>352267.72710377956</v>
      </c>
      <c r="I41" s="115">
        <v>0</v>
      </c>
      <c r="J41" s="307"/>
      <c r="K41" s="308">
        <f t="shared" si="3"/>
        <v>352267.72710377956</v>
      </c>
    </row>
    <row r="42" spans="1:11" ht="18" customHeight="1" x14ac:dyDescent="0.4">
      <c r="A42" s="1" t="s">
        <v>89</v>
      </c>
      <c r="B42" s="94" t="s">
        <v>11</v>
      </c>
      <c r="F42" s="306">
        <v>3577.2181249999676</v>
      </c>
      <c r="G42" s="306">
        <v>5043</v>
      </c>
      <c r="H42" s="307">
        <v>174225.58767788866</v>
      </c>
      <c r="I42" s="115">
        <v>0</v>
      </c>
      <c r="J42" s="307"/>
      <c r="K42" s="308">
        <f t="shared" si="3"/>
        <v>174225.58767788866</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484">
        <f t="shared" ref="F49:K49" si="4">SUM(F40:F47)</f>
        <v>14397.037728999952</v>
      </c>
      <c r="G49" s="484">
        <f t="shared" si="4"/>
        <v>14604.24999996756</v>
      </c>
      <c r="H49" s="308">
        <f t="shared" si="4"/>
        <v>738576.81478166801</v>
      </c>
      <c r="I49" s="308">
        <f t="shared" si="4"/>
        <v>0</v>
      </c>
      <c r="J49" s="308">
        <f t="shared" si="4"/>
        <v>43200</v>
      </c>
      <c r="K49" s="308">
        <f t="shared" si="4"/>
        <v>695376.81478166801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5" t="s">
        <v>187</v>
      </c>
      <c r="C53" s="653"/>
      <c r="D53" s="654"/>
      <c r="F53" s="306"/>
      <c r="G53" s="306"/>
      <c r="H53" s="307">
        <v>433904.89877703425</v>
      </c>
      <c r="I53" s="115">
        <v>0</v>
      </c>
      <c r="J53" s="307"/>
      <c r="K53" s="308">
        <f t="shared" ref="K53:K62" si="5">(H53+I53)-J53</f>
        <v>433904.89877703425</v>
      </c>
    </row>
    <row r="54" spans="1:11" ht="18" customHeight="1" x14ac:dyDescent="0.4">
      <c r="A54" s="1" t="s">
        <v>93</v>
      </c>
      <c r="B54" s="400" t="s">
        <v>188</v>
      </c>
      <c r="C54" s="401"/>
      <c r="D54" s="402"/>
      <c r="F54" s="306">
        <v>37440</v>
      </c>
      <c r="G54" s="306"/>
      <c r="H54" s="307">
        <v>6810392.5100000007</v>
      </c>
      <c r="I54" s="115">
        <v>0</v>
      </c>
      <c r="J54" s="307"/>
      <c r="K54" s="308">
        <f t="shared" si="5"/>
        <v>6810392.5100000007</v>
      </c>
    </row>
    <row r="55" spans="1:11" ht="18" customHeight="1" x14ac:dyDescent="0.4">
      <c r="A55" s="1" t="s">
        <v>94</v>
      </c>
      <c r="B55" s="655" t="s">
        <v>618</v>
      </c>
      <c r="C55" s="653"/>
      <c r="D55" s="654"/>
      <c r="F55" s="306">
        <v>64480</v>
      </c>
      <c r="G55" s="306"/>
      <c r="H55" s="307">
        <v>2630734.1800000002</v>
      </c>
      <c r="I55" s="115">
        <v>0</v>
      </c>
      <c r="J55" s="307"/>
      <c r="K55" s="308">
        <f t="shared" si="5"/>
        <v>2630734.1800000002</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t="s">
        <v>189</v>
      </c>
      <c r="C57" s="653"/>
      <c r="D57" s="654"/>
      <c r="F57" s="306"/>
      <c r="G57" s="306">
        <v>33448.3338</v>
      </c>
      <c r="H57" s="307">
        <v>9339934.844666671</v>
      </c>
      <c r="I57" s="115">
        <v>0</v>
      </c>
      <c r="J57" s="307"/>
      <c r="K57" s="308">
        <f t="shared" si="5"/>
        <v>9339934.844666671</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101920</v>
      </c>
      <c r="G64" s="310">
        <f t="shared" si="6"/>
        <v>33448.3338</v>
      </c>
      <c r="H64" s="308">
        <f t="shared" si="6"/>
        <v>19214966.433443706</v>
      </c>
      <c r="I64" s="308">
        <f t="shared" si="6"/>
        <v>0</v>
      </c>
      <c r="J64" s="308">
        <f t="shared" si="6"/>
        <v>0</v>
      </c>
      <c r="K64" s="308">
        <f t="shared" si="6"/>
        <v>19214966.433443706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485">
        <v>17558.45</v>
      </c>
      <c r="G68" s="485"/>
      <c r="H68" s="485">
        <v>1180513.26</v>
      </c>
      <c r="I68" s="115">
        <v>0</v>
      </c>
      <c r="J68" s="485">
        <v>753541</v>
      </c>
      <c r="K68" s="308">
        <f>(H68+I68)-J68</f>
        <v>426972.26</v>
      </c>
    </row>
    <row r="69" spans="1:11" ht="18" customHeight="1" x14ac:dyDescent="0.4">
      <c r="A69" s="1" t="s">
        <v>104</v>
      </c>
      <c r="B69" s="94" t="s">
        <v>53</v>
      </c>
      <c r="F69" s="485"/>
      <c r="G69" s="485"/>
      <c r="H69" s="485">
        <v>31218.985000000008</v>
      </c>
      <c r="I69" s="115">
        <v>0</v>
      </c>
      <c r="J69" s="313"/>
      <c r="K69" s="308">
        <f>(H69+I69)-J69</f>
        <v>31218.985000000008</v>
      </c>
    </row>
    <row r="70" spans="1:11" ht="18" customHeight="1" x14ac:dyDescent="0.4">
      <c r="A70" s="1" t="s">
        <v>178</v>
      </c>
      <c r="B70" s="400"/>
      <c r="C70" s="401"/>
      <c r="D70" s="402"/>
      <c r="E70" s="95"/>
      <c r="F70" s="486"/>
      <c r="G70" s="486"/>
      <c r="H70" s="486"/>
      <c r="I70" s="115">
        <v>0</v>
      </c>
      <c r="J70" s="105"/>
      <c r="K70" s="308">
        <f>(H70+I70)-J70</f>
        <v>0</v>
      </c>
    </row>
    <row r="71" spans="1:11" ht="18" customHeight="1" x14ac:dyDescent="0.4">
      <c r="A71" s="1" t="s">
        <v>179</v>
      </c>
      <c r="B71" s="400"/>
      <c r="C71" s="401"/>
      <c r="D71" s="402"/>
      <c r="E71" s="95"/>
      <c r="F71" s="486"/>
      <c r="G71" s="486"/>
      <c r="H71" s="486"/>
      <c r="I71" s="115">
        <v>0</v>
      </c>
      <c r="J71" s="105"/>
      <c r="K71" s="308">
        <f>(H71+I71)-J71</f>
        <v>0</v>
      </c>
    </row>
    <row r="72" spans="1:11" ht="18" customHeight="1" x14ac:dyDescent="0.4">
      <c r="A72" s="1" t="s">
        <v>180</v>
      </c>
      <c r="B72" s="406"/>
      <c r="C72" s="407"/>
      <c r="D72" s="408"/>
      <c r="E72" s="95"/>
      <c r="F72" s="485"/>
      <c r="G72" s="485"/>
      <c r="H72" s="485"/>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342">
        <f t="shared" ref="F74:K74" si="7">SUM(F68:F72)</f>
        <v>17558.45</v>
      </c>
      <c r="G74" s="342">
        <f t="shared" si="7"/>
        <v>0</v>
      </c>
      <c r="H74" s="342">
        <f t="shared" si="7"/>
        <v>1211732.2450000001</v>
      </c>
      <c r="I74" s="412">
        <f t="shared" si="7"/>
        <v>0</v>
      </c>
      <c r="J74" s="411">
        <f t="shared" si="7"/>
        <v>753541</v>
      </c>
      <c r="K74" s="308">
        <f t="shared" si="7"/>
        <v>458191.245</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103.37045039338878</v>
      </c>
      <c r="G77" s="306"/>
      <c r="H77" s="307">
        <v>233010.32915900831</v>
      </c>
      <c r="I77" s="115">
        <v>0</v>
      </c>
      <c r="J77" s="307"/>
      <c r="K77" s="308">
        <f>(H77+I77)-J77</f>
        <v>233010.32915900831</v>
      </c>
    </row>
    <row r="78" spans="1:11" ht="18" customHeight="1" x14ac:dyDescent="0.4">
      <c r="A78" s="1" t="s">
        <v>108</v>
      </c>
      <c r="B78" s="94" t="s">
        <v>55</v>
      </c>
      <c r="F78" s="306">
        <v>3</v>
      </c>
      <c r="G78" s="306"/>
      <c r="H78" s="307"/>
      <c r="I78" s="115">
        <v>0</v>
      </c>
      <c r="J78" s="307"/>
      <c r="K78" s="308">
        <f>(H78+I78)-J78</f>
        <v>0</v>
      </c>
    </row>
    <row r="79" spans="1:11" ht="18" customHeight="1" x14ac:dyDescent="0.4">
      <c r="A79" s="1" t="s">
        <v>109</v>
      </c>
      <c r="B79" s="94" t="s">
        <v>13</v>
      </c>
      <c r="F79" s="306">
        <v>8.6455285783561511</v>
      </c>
      <c r="G79" s="306">
        <v>8.6455285783561511</v>
      </c>
      <c r="H79" s="307">
        <v>1296.8292867534226</v>
      </c>
      <c r="I79" s="115">
        <v>0</v>
      </c>
      <c r="J79" s="307"/>
      <c r="K79" s="308">
        <f>(H79+I79)-J79</f>
        <v>1296.8292867534226</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389">
        <f t="shared" ref="F82:K82" si="8">SUM(F77:F80)</f>
        <v>115.01597897174493</v>
      </c>
      <c r="G82" s="389">
        <f t="shared" si="8"/>
        <v>8.6455285783561511</v>
      </c>
      <c r="H82" s="308">
        <f t="shared" si="8"/>
        <v>234307.15844576174</v>
      </c>
      <c r="I82" s="308">
        <f t="shared" si="8"/>
        <v>0</v>
      </c>
      <c r="J82" s="308">
        <f t="shared" si="8"/>
        <v>0</v>
      </c>
      <c r="K82" s="308">
        <f t="shared" si="8"/>
        <v>234307.15844576174</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v>1209.1765754822086</v>
      </c>
      <c r="G88" s="306"/>
      <c r="H88" s="307">
        <v>19588.8</v>
      </c>
      <c r="I88" s="115">
        <f t="shared" si="9"/>
        <v>13353.73197312</v>
      </c>
      <c r="J88" s="307"/>
      <c r="K88" s="308">
        <f t="shared" si="10"/>
        <v>32942.53197312</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v>99.047686104210698</v>
      </c>
      <c r="G90" s="306">
        <v>164.26504298876688</v>
      </c>
      <c r="H90" s="307"/>
      <c r="I90" s="115">
        <f t="shared" si="9"/>
        <v>0</v>
      </c>
      <c r="J90" s="307"/>
      <c r="K90" s="308">
        <f t="shared" si="10"/>
        <v>0</v>
      </c>
    </row>
    <row r="91" spans="1:11" ht="18" customHeight="1" x14ac:dyDescent="0.4">
      <c r="A91" s="1" t="s">
        <v>119</v>
      </c>
      <c r="B91" s="94" t="s">
        <v>60</v>
      </c>
      <c r="F91" s="306">
        <v>1056.258878345539</v>
      </c>
      <c r="G91" s="306"/>
      <c r="H91" s="307">
        <v>90395.350911600006</v>
      </c>
      <c r="I91" s="115">
        <f t="shared" si="9"/>
        <v>61622.727665279919</v>
      </c>
      <c r="J91" s="307"/>
      <c r="K91" s="308">
        <f t="shared" si="10"/>
        <v>152018.07857687993</v>
      </c>
    </row>
    <row r="92" spans="1:11" ht="18" customHeight="1" x14ac:dyDescent="0.4">
      <c r="A92" s="1" t="s">
        <v>120</v>
      </c>
      <c r="B92" s="94" t="s">
        <v>121</v>
      </c>
      <c r="F92" s="107">
        <v>234.5616</v>
      </c>
      <c r="G92" s="107"/>
      <c r="H92" s="108">
        <v>42694.424851050004</v>
      </c>
      <c r="I92" s="115">
        <f t="shared" si="9"/>
        <v>29104.89188758043</v>
      </c>
      <c r="J92" s="108"/>
      <c r="K92" s="308">
        <f t="shared" si="10"/>
        <v>71799.316738630441</v>
      </c>
    </row>
    <row r="93" spans="1:11" ht="18" customHeight="1" x14ac:dyDescent="0.4">
      <c r="A93" s="1" t="s">
        <v>122</v>
      </c>
      <c r="B93" s="94" t="s">
        <v>123</v>
      </c>
      <c r="F93" s="306">
        <v>995.58178509377012</v>
      </c>
      <c r="G93" s="306">
        <v>30</v>
      </c>
      <c r="H93" s="307">
        <v>41782.86</v>
      </c>
      <c r="I93" s="115">
        <f t="shared" si="9"/>
        <v>28483.475940864002</v>
      </c>
      <c r="J93" s="307"/>
      <c r="K93" s="308">
        <f t="shared" si="10"/>
        <v>70266.335940863995</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3594.6265250257284</v>
      </c>
      <c r="G98" s="310">
        <f t="shared" si="11"/>
        <v>194.26504298876688</v>
      </c>
      <c r="H98" s="310">
        <f t="shared" si="11"/>
        <v>194461.43576264998</v>
      </c>
      <c r="I98" s="310">
        <f t="shared" si="11"/>
        <v>132564.82746684435</v>
      </c>
      <c r="J98" s="310">
        <f t="shared" si="11"/>
        <v>0</v>
      </c>
      <c r="K98" s="310">
        <f t="shared" si="11"/>
        <v>327026.26322949433</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595.72813746355553</v>
      </c>
      <c r="G102" s="306"/>
      <c r="H102" s="307">
        <v>79663.637339627239</v>
      </c>
      <c r="I102" s="115">
        <f>H102*F$114</f>
        <v>54306.892767153506</v>
      </c>
      <c r="J102" s="307"/>
      <c r="K102" s="308">
        <f>(H102+I102)-J102</f>
        <v>133970.53010678076</v>
      </c>
    </row>
    <row r="103" spans="1:11" ht="18" customHeight="1" x14ac:dyDescent="0.4">
      <c r="A103" s="1" t="s">
        <v>132</v>
      </c>
      <c r="B103" s="635" t="s">
        <v>62</v>
      </c>
      <c r="C103" s="635"/>
      <c r="F103" s="306">
        <v>957.32332500000007</v>
      </c>
      <c r="G103" s="306"/>
      <c r="H103" s="307">
        <v>53958.133215000002</v>
      </c>
      <c r="I103" s="115">
        <f>H103*F$114</f>
        <v>36783.388912185219</v>
      </c>
      <c r="J103" s="307"/>
      <c r="K103" s="308">
        <f>(H103+I103)-J103</f>
        <v>90741.522127185221</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1553.0514624635557</v>
      </c>
      <c r="G108" s="310">
        <f t="shared" si="12"/>
        <v>0</v>
      </c>
      <c r="H108" s="308">
        <f t="shared" si="12"/>
        <v>133621.77055462723</v>
      </c>
      <c r="I108" s="308">
        <f t="shared" si="12"/>
        <v>91090.281679338717</v>
      </c>
      <c r="J108" s="308">
        <f t="shared" si="12"/>
        <v>0</v>
      </c>
      <c r="K108" s="308">
        <f t="shared" si="12"/>
        <v>224712.05223396598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9664080.9899999984</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0.68170240000000004</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266594362</v>
      </c>
    </row>
    <row r="118" spans="1:6" ht="18" customHeight="1" x14ac:dyDescent="0.4">
      <c r="A118" s="1" t="s">
        <v>173</v>
      </c>
      <c r="B118" t="s">
        <v>18</v>
      </c>
      <c r="F118" s="307">
        <v>4670930</v>
      </c>
    </row>
    <row r="119" spans="1:6" ht="18" customHeight="1" x14ac:dyDescent="0.4">
      <c r="A119" s="1" t="s">
        <v>174</v>
      </c>
      <c r="B119" s="95" t="s">
        <v>19</v>
      </c>
      <c r="F119" s="308">
        <f>SUM(F117:F118)</f>
        <v>271265292</v>
      </c>
    </row>
    <row r="120" spans="1:6" ht="18" customHeight="1" x14ac:dyDescent="0.4">
      <c r="A120" s="1"/>
      <c r="B120" s="95"/>
    </row>
    <row r="121" spans="1:6" ht="18" customHeight="1" x14ac:dyDescent="0.4">
      <c r="A121" s="1" t="s">
        <v>167</v>
      </c>
      <c r="B121" s="95" t="s">
        <v>36</v>
      </c>
      <c r="F121" s="307">
        <v>265481640</v>
      </c>
    </row>
    <row r="122" spans="1:6" ht="18" customHeight="1" x14ac:dyDescent="0.4">
      <c r="A122" s="1"/>
    </row>
    <row r="123" spans="1:6" ht="18" customHeight="1" x14ac:dyDescent="0.4">
      <c r="A123" s="1" t="s">
        <v>175</v>
      </c>
      <c r="B123" s="95" t="s">
        <v>20</v>
      </c>
      <c r="F123" s="307">
        <f>F119-F121</f>
        <v>5783652</v>
      </c>
    </row>
    <row r="124" spans="1:6" ht="18" customHeight="1" x14ac:dyDescent="0.4">
      <c r="A124" s="1"/>
    </row>
    <row r="125" spans="1:6" ht="18" customHeight="1" x14ac:dyDescent="0.4">
      <c r="A125" s="1" t="s">
        <v>176</v>
      </c>
      <c r="B125" s="95" t="s">
        <v>21</v>
      </c>
      <c r="F125" s="307">
        <v>664543</v>
      </c>
    </row>
    <row r="126" spans="1:6" ht="18" customHeight="1" x14ac:dyDescent="0.4">
      <c r="A126" s="1"/>
    </row>
    <row r="127" spans="1:6" ht="18" customHeight="1" x14ac:dyDescent="0.4">
      <c r="A127" s="1" t="s">
        <v>177</v>
      </c>
      <c r="B127" s="95" t="s">
        <v>22</v>
      </c>
      <c r="F127" s="307">
        <f>F123+F125</f>
        <v>6448195</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J141" si="14">F36</f>
        <v>13644.690048443268</v>
      </c>
      <c r="G141" s="109">
        <f t="shared" si="14"/>
        <v>15819.023620968874</v>
      </c>
      <c r="H141" s="109">
        <f t="shared" si="14"/>
        <v>4782571.5499935215</v>
      </c>
      <c r="I141" s="109">
        <f t="shared" si="14"/>
        <v>1512213.2417061869</v>
      </c>
      <c r="J141" s="109">
        <f t="shared" si="14"/>
        <v>730662.5</v>
      </c>
      <c r="K141" s="109">
        <f>K36</f>
        <v>5564122.2916997075</v>
      </c>
    </row>
    <row r="142" spans="1:11" ht="18" customHeight="1" x14ac:dyDescent="0.4">
      <c r="A142" s="1" t="s">
        <v>142</v>
      </c>
      <c r="B142" s="95" t="s">
        <v>65</v>
      </c>
      <c r="F142" s="109">
        <f t="shared" ref="F142:K142" si="15">F49</f>
        <v>14397.037728999952</v>
      </c>
      <c r="G142" s="109">
        <f t="shared" si="15"/>
        <v>14604.24999996756</v>
      </c>
      <c r="H142" s="109">
        <f t="shared" si="15"/>
        <v>738576.81478166801</v>
      </c>
      <c r="I142" s="109">
        <f t="shared" si="15"/>
        <v>0</v>
      </c>
      <c r="J142" s="109">
        <f t="shared" si="15"/>
        <v>43200</v>
      </c>
      <c r="K142" s="109">
        <f t="shared" si="15"/>
        <v>695376.81478166801</v>
      </c>
    </row>
    <row r="143" spans="1:11" ht="18" customHeight="1" x14ac:dyDescent="0.4">
      <c r="A143" s="1" t="s">
        <v>144</v>
      </c>
      <c r="B143" s="95" t="s">
        <v>66</v>
      </c>
      <c r="F143" s="109">
        <f t="shared" ref="F143:K143" si="16">F64</f>
        <v>101920</v>
      </c>
      <c r="G143" s="109">
        <f t="shared" si="16"/>
        <v>33448.3338</v>
      </c>
      <c r="H143" s="109">
        <f t="shared" si="16"/>
        <v>19214966.433443706</v>
      </c>
      <c r="I143" s="109">
        <f t="shared" si="16"/>
        <v>0</v>
      </c>
      <c r="J143" s="109">
        <f t="shared" si="16"/>
        <v>0</v>
      </c>
      <c r="K143" s="109">
        <f t="shared" si="16"/>
        <v>19214966.433443706</v>
      </c>
    </row>
    <row r="144" spans="1:11" ht="18" customHeight="1" x14ac:dyDescent="0.4">
      <c r="A144" s="1" t="s">
        <v>146</v>
      </c>
      <c r="B144" s="95" t="s">
        <v>67</v>
      </c>
      <c r="F144" s="109">
        <f t="shared" ref="F144:K144" si="17">F74</f>
        <v>17558.45</v>
      </c>
      <c r="G144" s="109">
        <f t="shared" si="17"/>
        <v>0</v>
      </c>
      <c r="H144" s="109">
        <f t="shared" si="17"/>
        <v>1211732.2450000001</v>
      </c>
      <c r="I144" s="109">
        <f t="shared" si="17"/>
        <v>0</v>
      </c>
      <c r="J144" s="109">
        <f>J68</f>
        <v>753541</v>
      </c>
      <c r="K144" s="109">
        <f t="shared" si="17"/>
        <v>458191.245</v>
      </c>
    </row>
    <row r="145" spans="1:11" ht="18" customHeight="1" x14ac:dyDescent="0.4">
      <c r="A145" s="1" t="s">
        <v>148</v>
      </c>
      <c r="B145" s="95" t="s">
        <v>68</v>
      </c>
      <c r="F145" s="109">
        <f t="shared" ref="F145:K145" si="18">F82</f>
        <v>115.01597897174493</v>
      </c>
      <c r="G145" s="109">
        <f t="shared" si="18"/>
        <v>8.6455285783561511</v>
      </c>
      <c r="H145" s="109">
        <f t="shared" si="18"/>
        <v>234307.15844576174</v>
      </c>
      <c r="I145" s="109">
        <f t="shared" si="18"/>
        <v>0</v>
      </c>
      <c r="J145" s="109">
        <f t="shared" si="18"/>
        <v>0</v>
      </c>
      <c r="K145" s="109">
        <f t="shared" si="18"/>
        <v>234307.15844576174</v>
      </c>
    </row>
    <row r="146" spans="1:11" ht="18" customHeight="1" x14ac:dyDescent="0.4">
      <c r="A146" s="1" t="s">
        <v>150</v>
      </c>
      <c r="B146" s="95" t="s">
        <v>69</v>
      </c>
      <c r="F146" s="109">
        <f t="shared" ref="F146:K146" si="19">F98</f>
        <v>3594.6265250257284</v>
      </c>
      <c r="G146" s="109">
        <f t="shared" si="19"/>
        <v>194.26504298876688</v>
      </c>
      <c r="H146" s="109">
        <f t="shared" si="19"/>
        <v>194461.43576264998</v>
      </c>
      <c r="I146" s="109">
        <f t="shared" si="19"/>
        <v>132564.82746684435</v>
      </c>
      <c r="J146" s="109">
        <f t="shared" si="19"/>
        <v>0</v>
      </c>
      <c r="K146" s="109">
        <f t="shared" si="19"/>
        <v>327026.26322949433</v>
      </c>
    </row>
    <row r="147" spans="1:11" ht="18" customHeight="1" x14ac:dyDescent="0.4">
      <c r="A147" s="1" t="s">
        <v>153</v>
      </c>
      <c r="B147" s="95" t="s">
        <v>61</v>
      </c>
      <c r="F147" s="310">
        <f t="shared" ref="F147:K147" si="20">F108</f>
        <v>1553.0514624635557</v>
      </c>
      <c r="G147" s="310">
        <f t="shared" si="20"/>
        <v>0</v>
      </c>
      <c r="H147" s="310">
        <f t="shared" si="20"/>
        <v>133621.77055462723</v>
      </c>
      <c r="I147" s="310">
        <f t="shared" si="20"/>
        <v>91090.281679338717</v>
      </c>
      <c r="J147" s="310">
        <f t="shared" si="20"/>
        <v>0</v>
      </c>
      <c r="K147" s="310">
        <f t="shared" si="20"/>
        <v>224712.05223396598</v>
      </c>
    </row>
    <row r="148" spans="1:11" ht="18" customHeight="1" x14ac:dyDescent="0.4">
      <c r="A148" s="1" t="s">
        <v>155</v>
      </c>
      <c r="B148" s="95" t="s">
        <v>70</v>
      </c>
      <c r="F148" s="110" t="s">
        <v>73</v>
      </c>
      <c r="G148" s="110" t="s">
        <v>73</v>
      </c>
      <c r="H148" s="111" t="s">
        <v>73</v>
      </c>
      <c r="I148" s="111" t="s">
        <v>73</v>
      </c>
      <c r="J148" s="111" t="s">
        <v>73</v>
      </c>
      <c r="K148" s="106">
        <f>F111</f>
        <v>9664080.9899999984</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5532933.8899999997</v>
      </c>
      <c r="I150" s="310">
        <f>I18</f>
        <v>0</v>
      </c>
      <c r="J150" s="310">
        <f>J18</f>
        <v>4585530.47</v>
      </c>
      <c r="K150" s="310">
        <f>K18</f>
        <v>947403.41999999993</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J152" si="22">SUM(F141:F150)</f>
        <v>152782.87174390428</v>
      </c>
      <c r="G152" s="114">
        <f t="shared" si="22"/>
        <v>64074.517992503555</v>
      </c>
      <c r="H152" s="114">
        <f t="shared" si="22"/>
        <v>32043171.297981936</v>
      </c>
      <c r="I152" s="114">
        <f t="shared" si="22"/>
        <v>1735868.35085237</v>
      </c>
      <c r="J152" s="114">
        <f t="shared" si="22"/>
        <v>6112933.9699999997</v>
      </c>
      <c r="K152" s="114">
        <f>SUM(K141:K150)</f>
        <v>37330186.668834299</v>
      </c>
    </row>
    <row r="154" spans="1:11" ht="18" customHeight="1" x14ac:dyDescent="0.4">
      <c r="A154" s="98" t="s">
        <v>168</v>
      </c>
      <c r="B154" s="95" t="s">
        <v>28</v>
      </c>
      <c r="F154" s="318">
        <f>K152/F121</f>
        <v>0.14061306336978444</v>
      </c>
    </row>
    <row r="155" spans="1:11" ht="18" customHeight="1" x14ac:dyDescent="0.4">
      <c r="A155" s="98" t="s">
        <v>169</v>
      </c>
      <c r="B155" s="95" t="s">
        <v>72</v>
      </c>
      <c r="F155" s="318">
        <f>K152/F127</f>
        <v>5.7892459314326414</v>
      </c>
      <c r="G155" s="95"/>
    </row>
    <row r="156" spans="1:11" ht="18" customHeight="1" x14ac:dyDescent="0.4">
      <c r="G156" s="95"/>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B41:C41"/>
    <mergeCell ref="B44:D44"/>
    <mergeCell ref="B13:H13"/>
    <mergeCell ref="B30:D30"/>
    <mergeCell ref="C5:G5"/>
    <mergeCell ref="C6:G6"/>
    <mergeCell ref="C7:G7"/>
    <mergeCell ref="C11:G11"/>
    <mergeCell ref="C9:G9"/>
    <mergeCell ref="B31:D31"/>
    <mergeCell ref="C10:G10"/>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K156"/>
  <sheetViews>
    <sheetView showGridLines="0" topLeftCell="A139" zoomScale="80" zoomScaleNormal="80" zoomScaleSheetLayoutView="8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394</v>
      </c>
      <c r="D5" s="666"/>
      <c r="E5" s="666"/>
      <c r="F5" s="666"/>
      <c r="G5" s="667"/>
    </row>
    <row r="6" spans="1:11" ht="18" customHeight="1" x14ac:dyDescent="0.4">
      <c r="B6" s="1" t="s">
        <v>3</v>
      </c>
      <c r="C6" s="668" t="s">
        <v>436</v>
      </c>
      <c r="D6" s="669"/>
      <c r="E6" s="669"/>
      <c r="F6" s="669"/>
      <c r="G6" s="670"/>
    </row>
    <row r="7" spans="1:11" ht="18" customHeight="1" x14ac:dyDescent="0.4">
      <c r="B7" s="1" t="s">
        <v>4</v>
      </c>
      <c r="C7" s="731" t="s">
        <v>701</v>
      </c>
      <c r="D7" s="666"/>
      <c r="E7" s="666"/>
      <c r="F7" s="666"/>
      <c r="G7" s="667"/>
    </row>
    <row r="9" spans="1:11" ht="18" customHeight="1" x14ac:dyDescent="0.4">
      <c r="B9" s="1" t="s">
        <v>1</v>
      </c>
      <c r="C9" s="663" t="s">
        <v>619</v>
      </c>
      <c r="D9" s="666"/>
      <c r="E9" s="666"/>
      <c r="F9" s="666"/>
      <c r="G9" s="667"/>
    </row>
    <row r="10" spans="1:11" ht="18" customHeight="1" x14ac:dyDescent="0.4">
      <c r="B10" s="1" t="s">
        <v>2</v>
      </c>
      <c r="C10" s="660" t="s">
        <v>620</v>
      </c>
      <c r="D10" s="661"/>
      <c r="E10" s="661"/>
      <c r="F10" s="661"/>
      <c r="G10" s="662"/>
    </row>
    <row r="11" spans="1:11" ht="18" customHeight="1" x14ac:dyDescent="0.4">
      <c r="B11" s="1" t="s">
        <v>32</v>
      </c>
      <c r="C11" s="692" t="s">
        <v>621</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1157463.3</v>
      </c>
      <c r="I18" s="115">
        <v>0</v>
      </c>
      <c r="J18" s="307">
        <v>959271.04</v>
      </c>
      <c r="K18" s="308">
        <f>(H18+I18)-J18</f>
        <v>198192.26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257</v>
      </c>
      <c r="G21" s="306">
        <v>727</v>
      </c>
      <c r="H21" s="307">
        <v>12885</v>
      </c>
      <c r="I21" s="115">
        <f t="shared" ref="I21:I34" si="0">H21*F$114</f>
        <v>7273.5825000000004</v>
      </c>
      <c r="J21" s="307">
        <v>1948</v>
      </c>
      <c r="K21" s="308">
        <f t="shared" ref="K21:K34" si="1">(H21+I21)-J21</f>
        <v>18210.5825</v>
      </c>
    </row>
    <row r="22" spans="1:11" ht="18" customHeight="1" x14ac:dyDescent="0.4">
      <c r="A22" s="1" t="s">
        <v>76</v>
      </c>
      <c r="B22" t="s">
        <v>6</v>
      </c>
      <c r="F22" s="306">
        <v>90</v>
      </c>
      <c r="G22" s="306">
        <v>175</v>
      </c>
      <c r="H22" s="307">
        <v>4134</v>
      </c>
      <c r="I22" s="115">
        <f t="shared" si="0"/>
        <v>2333.643</v>
      </c>
      <c r="J22" s="307">
        <v>0</v>
      </c>
      <c r="K22" s="308">
        <f t="shared" si="1"/>
        <v>6467.643</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v>25</v>
      </c>
      <c r="G26" s="306">
        <v>98</v>
      </c>
      <c r="H26" s="307">
        <v>2652</v>
      </c>
      <c r="I26" s="115">
        <f t="shared" si="0"/>
        <v>1497.0540000000001</v>
      </c>
      <c r="J26" s="307">
        <v>27</v>
      </c>
      <c r="K26" s="308">
        <f t="shared" si="1"/>
        <v>4122.0540000000001</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5568</v>
      </c>
      <c r="G29" s="306">
        <v>1816</v>
      </c>
      <c r="H29" s="307">
        <v>108555</v>
      </c>
      <c r="I29" s="115">
        <f t="shared" si="0"/>
        <v>61279.297500000001</v>
      </c>
      <c r="J29" s="307">
        <v>0</v>
      </c>
      <c r="K29" s="308">
        <f t="shared" si="1"/>
        <v>169834.29749999999</v>
      </c>
    </row>
    <row r="30" spans="1:11" ht="18" customHeight="1" x14ac:dyDescent="0.4">
      <c r="A30" s="1" t="s">
        <v>84</v>
      </c>
      <c r="B30" s="630" t="s">
        <v>505</v>
      </c>
      <c r="C30" s="631"/>
      <c r="D30" s="632"/>
      <c r="F30" s="306">
        <v>9</v>
      </c>
      <c r="G30" s="306">
        <v>9</v>
      </c>
      <c r="H30" s="307">
        <v>1819</v>
      </c>
      <c r="I30" s="115">
        <f t="shared" si="0"/>
        <v>1026.8254999999999</v>
      </c>
      <c r="J30" s="307">
        <v>1429</v>
      </c>
      <c r="K30" s="308">
        <f t="shared" si="1"/>
        <v>1416.8254999999999</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5949</v>
      </c>
      <c r="G36" s="310">
        <f t="shared" si="2"/>
        <v>2825</v>
      </c>
      <c r="H36" s="310">
        <f t="shared" si="2"/>
        <v>130045</v>
      </c>
      <c r="I36" s="308">
        <f t="shared" si="2"/>
        <v>73410.402500000011</v>
      </c>
      <c r="J36" s="308">
        <f t="shared" si="2"/>
        <v>3404</v>
      </c>
      <c r="K36" s="308">
        <f t="shared" si="2"/>
        <v>200051.4025</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v>220</v>
      </c>
      <c r="G42" s="306">
        <v>2</v>
      </c>
      <c r="H42" s="307">
        <v>19221</v>
      </c>
      <c r="I42" s="115">
        <v>0</v>
      </c>
      <c r="J42" s="307">
        <v>0</v>
      </c>
      <c r="K42" s="308">
        <f t="shared" si="3"/>
        <v>19221</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220</v>
      </c>
      <c r="G49" s="312">
        <f t="shared" si="4"/>
        <v>2</v>
      </c>
      <c r="H49" s="308">
        <f t="shared" si="4"/>
        <v>19221</v>
      </c>
      <c r="I49" s="308">
        <f t="shared" si="4"/>
        <v>0</v>
      </c>
      <c r="J49" s="308">
        <f t="shared" si="4"/>
        <v>0</v>
      </c>
      <c r="K49" s="308">
        <f t="shared" si="4"/>
        <v>19221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c r="C53" s="659"/>
      <c r="D53" s="654"/>
      <c r="F53" s="306"/>
      <c r="G53" s="306"/>
      <c r="H53" s="307"/>
      <c r="I53" s="115">
        <v>0</v>
      </c>
      <c r="J53" s="307"/>
      <c r="K53" s="308">
        <f t="shared" ref="K53:K62" si="5">(H53+I53)-J53</f>
        <v>0</v>
      </c>
    </row>
    <row r="54" spans="1:11" ht="18" customHeight="1" x14ac:dyDescent="0.4">
      <c r="A54" s="1" t="s">
        <v>93</v>
      </c>
      <c r="B54" s="400"/>
      <c r="C54" s="401"/>
      <c r="D54" s="402"/>
      <c r="F54" s="306"/>
      <c r="G54" s="306"/>
      <c r="H54" s="307"/>
      <c r="I54" s="115">
        <v>0</v>
      </c>
      <c r="J54" s="307"/>
      <c r="K54" s="308">
        <f t="shared" si="5"/>
        <v>0</v>
      </c>
    </row>
    <row r="55" spans="1:11" ht="18" customHeight="1" x14ac:dyDescent="0.4">
      <c r="A55" s="1" t="s">
        <v>94</v>
      </c>
      <c r="B55" s="655"/>
      <c r="C55" s="653"/>
      <c r="D55" s="654"/>
      <c r="F55" s="306"/>
      <c r="G55" s="306"/>
      <c r="H55" s="307"/>
      <c r="I55" s="115">
        <v>0</v>
      </c>
      <c r="J55" s="307"/>
      <c r="K55" s="308">
        <f t="shared" si="5"/>
        <v>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0</v>
      </c>
      <c r="G64" s="310">
        <f t="shared" si="6"/>
        <v>0</v>
      </c>
      <c r="H64" s="308">
        <f t="shared" si="6"/>
        <v>0</v>
      </c>
      <c r="I64" s="308">
        <f t="shared" si="6"/>
        <v>0</v>
      </c>
      <c r="J64" s="308">
        <f t="shared" si="6"/>
        <v>0</v>
      </c>
      <c r="K64" s="308">
        <f t="shared" si="6"/>
        <v>0</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35</v>
      </c>
      <c r="G79" s="306">
        <v>68</v>
      </c>
      <c r="H79" s="307">
        <v>3817</v>
      </c>
      <c r="I79" s="115">
        <v>0</v>
      </c>
      <c r="J79" s="307">
        <v>0</v>
      </c>
      <c r="K79" s="308">
        <f>(H79+I79)-J79</f>
        <v>3817</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35</v>
      </c>
      <c r="G82" s="411">
        <f t="shared" si="8"/>
        <v>68</v>
      </c>
      <c r="H82" s="308">
        <f t="shared" si="8"/>
        <v>3817</v>
      </c>
      <c r="I82" s="308">
        <f t="shared" si="8"/>
        <v>0</v>
      </c>
      <c r="J82" s="308">
        <f t="shared" si="8"/>
        <v>0</v>
      </c>
      <c r="K82" s="308">
        <f t="shared" si="8"/>
        <v>3817</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v>1</v>
      </c>
      <c r="G87" s="306">
        <v>0</v>
      </c>
      <c r="H87" s="307">
        <v>156</v>
      </c>
      <c r="I87" s="115">
        <f t="shared" si="9"/>
        <v>88.061999999999998</v>
      </c>
      <c r="J87" s="307">
        <v>0</v>
      </c>
      <c r="K87" s="308">
        <f t="shared" si="10"/>
        <v>244.06200000000001</v>
      </c>
    </row>
    <row r="88" spans="1:11" ht="18" customHeight="1" x14ac:dyDescent="0.4">
      <c r="A88" s="1" t="s">
        <v>115</v>
      </c>
      <c r="B88" s="94" t="s">
        <v>116</v>
      </c>
      <c r="F88" s="306"/>
      <c r="G88" s="306"/>
      <c r="H88" s="307"/>
      <c r="I88" s="115">
        <f t="shared" si="9"/>
        <v>0</v>
      </c>
      <c r="J88" s="307"/>
      <c r="K88" s="308">
        <f t="shared" si="10"/>
        <v>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v>32</v>
      </c>
      <c r="G91" s="306">
        <v>1</v>
      </c>
      <c r="H91" s="307">
        <v>3214</v>
      </c>
      <c r="I91" s="115">
        <f t="shared" si="9"/>
        <v>1814.3030000000001</v>
      </c>
      <c r="J91" s="307">
        <v>0</v>
      </c>
      <c r="K91" s="308">
        <f t="shared" si="10"/>
        <v>5028.3029999999999</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v>9</v>
      </c>
      <c r="G93" s="306"/>
      <c r="H93" s="307">
        <v>367041</v>
      </c>
      <c r="I93" s="115">
        <f t="shared" si="9"/>
        <v>207194.64449999999</v>
      </c>
      <c r="J93" s="307">
        <v>0</v>
      </c>
      <c r="K93" s="308">
        <f t="shared" si="10"/>
        <v>574235.64449999994</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42</v>
      </c>
      <c r="G98" s="310">
        <f t="shared" si="11"/>
        <v>1</v>
      </c>
      <c r="H98" s="310">
        <f t="shared" si="11"/>
        <v>370411</v>
      </c>
      <c r="I98" s="310">
        <f t="shared" si="11"/>
        <v>209097.00949999999</v>
      </c>
      <c r="J98" s="310">
        <f t="shared" si="11"/>
        <v>0</v>
      </c>
      <c r="K98" s="310">
        <f t="shared" si="11"/>
        <v>579508.00949999993</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40</v>
      </c>
      <c r="G102" s="306"/>
      <c r="H102" s="307">
        <v>1955</v>
      </c>
      <c r="I102" s="115">
        <f>H102*F$114</f>
        <v>1103.5975000000001</v>
      </c>
      <c r="J102" s="307">
        <v>0</v>
      </c>
      <c r="K102" s="308">
        <f>(H102+I102)-J102</f>
        <v>3058.5974999999999</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t="s">
        <v>702</v>
      </c>
      <c r="C104" s="653"/>
      <c r="D104" s="654"/>
      <c r="F104" s="306">
        <v>87</v>
      </c>
      <c r="G104" s="306"/>
      <c r="H104" s="307">
        <v>13643</v>
      </c>
      <c r="I104" s="115">
        <f>H104*F$114</f>
        <v>7701.4735000000001</v>
      </c>
      <c r="J104" s="307">
        <v>0</v>
      </c>
      <c r="K104" s="308">
        <f>(H104+I104)-J104</f>
        <v>21344.4735</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127</v>
      </c>
      <c r="G108" s="310">
        <f t="shared" si="12"/>
        <v>0</v>
      </c>
      <c r="H108" s="308">
        <f t="shared" si="12"/>
        <v>15598</v>
      </c>
      <c r="I108" s="308">
        <f t="shared" si="12"/>
        <v>8805.0709999999999</v>
      </c>
      <c r="J108" s="308">
        <f t="shared" si="12"/>
        <v>0</v>
      </c>
      <c r="K108" s="308">
        <f t="shared" si="12"/>
        <v>24403.071</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f>3064354+7955+2513</f>
        <v>3074822</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0.5645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f>50997279</f>
        <v>50997279</v>
      </c>
    </row>
    <row r="118" spans="1:6" ht="18" customHeight="1" x14ac:dyDescent="0.4">
      <c r="A118" s="1" t="s">
        <v>173</v>
      </c>
      <c r="B118" t="s">
        <v>18</v>
      </c>
      <c r="F118" s="307">
        <f>5122599+903681+602745</f>
        <v>6629025</v>
      </c>
    </row>
    <row r="119" spans="1:6" ht="18" customHeight="1" x14ac:dyDescent="0.4">
      <c r="A119" s="1" t="s">
        <v>174</v>
      </c>
      <c r="B119" s="95" t="s">
        <v>19</v>
      </c>
      <c r="F119" s="308">
        <f>SUM(F117:F118)</f>
        <v>57626304</v>
      </c>
    </row>
    <row r="120" spans="1:6" ht="18" customHeight="1" x14ac:dyDescent="0.4">
      <c r="A120" s="1"/>
      <c r="B120" s="95"/>
    </row>
    <row r="121" spans="1:6" ht="18" customHeight="1" x14ac:dyDescent="0.4">
      <c r="A121" s="1" t="s">
        <v>167</v>
      </c>
      <c r="B121" s="95" t="s">
        <v>36</v>
      </c>
      <c r="F121" s="307">
        <v>49847123</v>
      </c>
    </row>
    <row r="122" spans="1:6" ht="18" customHeight="1" x14ac:dyDescent="0.4">
      <c r="A122" s="1"/>
    </row>
    <row r="123" spans="1:6" ht="18" customHeight="1" x14ac:dyDescent="0.4">
      <c r="A123" s="1" t="s">
        <v>175</v>
      </c>
      <c r="B123" s="95" t="s">
        <v>20</v>
      </c>
      <c r="F123" s="307">
        <v>7779181</v>
      </c>
    </row>
    <row r="124" spans="1:6" ht="18" customHeight="1" x14ac:dyDescent="0.4">
      <c r="A124" s="1"/>
    </row>
    <row r="125" spans="1:6" ht="18" customHeight="1" x14ac:dyDescent="0.4">
      <c r="A125" s="1" t="s">
        <v>176</v>
      </c>
      <c r="B125" s="95" t="s">
        <v>21</v>
      </c>
      <c r="F125" s="307">
        <v>-81031</v>
      </c>
    </row>
    <row r="126" spans="1:6" ht="18" customHeight="1" x14ac:dyDescent="0.4">
      <c r="A126" s="1"/>
    </row>
    <row r="127" spans="1:6" ht="18" customHeight="1" x14ac:dyDescent="0.4">
      <c r="A127" s="1" t="s">
        <v>177</v>
      </c>
      <c r="B127" s="95" t="s">
        <v>22</v>
      </c>
      <c r="F127" s="307">
        <v>7698150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5949</v>
      </c>
      <c r="G141" s="109">
        <f t="shared" si="14"/>
        <v>2825</v>
      </c>
      <c r="H141" s="109">
        <f t="shared" si="14"/>
        <v>130045</v>
      </c>
      <c r="I141" s="109">
        <f t="shared" si="14"/>
        <v>73410.402500000011</v>
      </c>
      <c r="J141" s="109">
        <f t="shared" si="14"/>
        <v>3404</v>
      </c>
      <c r="K141" s="109">
        <f t="shared" si="14"/>
        <v>200051.4025</v>
      </c>
    </row>
    <row r="142" spans="1:11" ht="18" customHeight="1" x14ac:dyDescent="0.4">
      <c r="A142" s="1" t="s">
        <v>142</v>
      </c>
      <c r="B142" s="95" t="s">
        <v>65</v>
      </c>
      <c r="F142" s="109">
        <f t="shared" ref="F142:K142" si="15">F49</f>
        <v>220</v>
      </c>
      <c r="G142" s="109">
        <f t="shared" si="15"/>
        <v>2</v>
      </c>
      <c r="H142" s="109">
        <f t="shared" si="15"/>
        <v>19221</v>
      </c>
      <c r="I142" s="109">
        <f t="shared" si="15"/>
        <v>0</v>
      </c>
      <c r="J142" s="109">
        <f t="shared" si="15"/>
        <v>0</v>
      </c>
      <c r="K142" s="109">
        <f t="shared" si="15"/>
        <v>19221</v>
      </c>
    </row>
    <row r="143" spans="1:11" ht="18" customHeight="1" x14ac:dyDescent="0.4">
      <c r="A143" s="1" t="s">
        <v>144</v>
      </c>
      <c r="B143" s="95" t="s">
        <v>66</v>
      </c>
      <c r="F143" s="109">
        <f t="shared" ref="F143:K143" si="16">F64</f>
        <v>0</v>
      </c>
      <c r="G143" s="109">
        <f t="shared" si="16"/>
        <v>0</v>
      </c>
      <c r="H143" s="109">
        <f t="shared" si="16"/>
        <v>0</v>
      </c>
      <c r="I143" s="109">
        <f t="shared" si="16"/>
        <v>0</v>
      </c>
      <c r="J143" s="109">
        <f t="shared" si="16"/>
        <v>0</v>
      </c>
      <c r="K143" s="109">
        <f t="shared" si="16"/>
        <v>0</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35</v>
      </c>
      <c r="G145" s="109">
        <f t="shared" si="18"/>
        <v>68</v>
      </c>
      <c r="H145" s="109">
        <f t="shared" si="18"/>
        <v>3817</v>
      </c>
      <c r="I145" s="109">
        <f t="shared" si="18"/>
        <v>0</v>
      </c>
      <c r="J145" s="109">
        <f t="shared" si="18"/>
        <v>0</v>
      </c>
      <c r="K145" s="109">
        <f t="shared" si="18"/>
        <v>3817</v>
      </c>
    </row>
    <row r="146" spans="1:11" ht="18" customHeight="1" x14ac:dyDescent="0.4">
      <c r="A146" s="1" t="s">
        <v>150</v>
      </c>
      <c r="B146" s="95" t="s">
        <v>69</v>
      </c>
      <c r="F146" s="109">
        <f t="shared" ref="F146:K146" si="19">F98</f>
        <v>42</v>
      </c>
      <c r="G146" s="109">
        <f t="shared" si="19"/>
        <v>1</v>
      </c>
      <c r="H146" s="109">
        <f t="shared" si="19"/>
        <v>370411</v>
      </c>
      <c r="I146" s="109">
        <f t="shared" si="19"/>
        <v>209097.00949999999</v>
      </c>
      <c r="J146" s="109">
        <f t="shared" si="19"/>
        <v>0</v>
      </c>
      <c r="K146" s="109">
        <f t="shared" si="19"/>
        <v>579508.00949999993</v>
      </c>
    </row>
    <row r="147" spans="1:11" ht="18" customHeight="1" x14ac:dyDescent="0.4">
      <c r="A147" s="1" t="s">
        <v>153</v>
      </c>
      <c r="B147" s="95" t="s">
        <v>61</v>
      </c>
      <c r="F147" s="310">
        <f t="shared" ref="F147:K147" si="20">F108</f>
        <v>127</v>
      </c>
      <c r="G147" s="310">
        <f t="shared" si="20"/>
        <v>0</v>
      </c>
      <c r="H147" s="310">
        <f t="shared" si="20"/>
        <v>15598</v>
      </c>
      <c r="I147" s="310">
        <f t="shared" si="20"/>
        <v>8805.0709999999999</v>
      </c>
      <c r="J147" s="310">
        <f t="shared" si="20"/>
        <v>0</v>
      </c>
      <c r="K147" s="310">
        <f t="shared" si="20"/>
        <v>24403.071</v>
      </c>
    </row>
    <row r="148" spans="1:11" ht="18" customHeight="1" x14ac:dyDescent="0.4">
      <c r="A148" s="1" t="s">
        <v>155</v>
      </c>
      <c r="B148" s="95" t="s">
        <v>70</v>
      </c>
      <c r="F148" s="110" t="s">
        <v>73</v>
      </c>
      <c r="G148" s="110" t="s">
        <v>73</v>
      </c>
      <c r="H148" s="111" t="s">
        <v>73</v>
      </c>
      <c r="I148" s="111" t="s">
        <v>73</v>
      </c>
      <c r="J148" s="111" t="s">
        <v>73</v>
      </c>
      <c r="K148" s="106">
        <f>F111</f>
        <v>3074822</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1157463.3</v>
      </c>
      <c r="I150" s="310">
        <f>I18</f>
        <v>0</v>
      </c>
      <c r="J150" s="310">
        <f>J18</f>
        <v>959271.04</v>
      </c>
      <c r="K150" s="310">
        <f>K18</f>
        <v>198192.26</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6373</v>
      </c>
      <c r="G152" s="114">
        <f t="shared" si="22"/>
        <v>2896</v>
      </c>
      <c r="H152" s="114">
        <f t="shared" si="22"/>
        <v>1696555.3</v>
      </c>
      <c r="I152" s="114">
        <f t="shared" si="22"/>
        <v>291312.48300000001</v>
      </c>
      <c r="J152" s="114">
        <f t="shared" si="22"/>
        <v>962675.04</v>
      </c>
      <c r="K152" s="114">
        <f t="shared" si="22"/>
        <v>4100014.7429999998</v>
      </c>
    </row>
    <row r="154" spans="1:11" ht="18" customHeight="1" x14ac:dyDescent="0.4">
      <c r="A154" s="98" t="s">
        <v>168</v>
      </c>
      <c r="B154" s="95" t="s">
        <v>28</v>
      </c>
      <c r="F154" s="318">
        <f>K152/F121</f>
        <v>8.2251782976522025E-2</v>
      </c>
    </row>
    <row r="155" spans="1:11" ht="18" customHeight="1" x14ac:dyDescent="0.4">
      <c r="A155" s="98" t="s">
        <v>169</v>
      </c>
      <c r="B155" s="95" t="s">
        <v>72</v>
      </c>
      <c r="F155" s="318">
        <f>K152/F127</f>
        <v>0.53259740885797235</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xr:uid="{3D444713-FD45-421B-A2E4-261DA84E88D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K156"/>
  <sheetViews>
    <sheetView topLeftCell="A136" zoomScale="80" zoomScaleNormal="80" workbookViewId="0">
      <selection activeCell="H158" sqref="H158"/>
    </sheetView>
  </sheetViews>
  <sheetFormatPr defaultColWidth="8.71875" defaultRowHeight="18" customHeight="1" x14ac:dyDescent="0.4"/>
  <cols>
    <col min="1" max="1" width="8.38671875" style="93" customWidth="1"/>
    <col min="2" max="2" width="38.44140625" customWidth="1"/>
    <col min="3" max="3" width="9.5546875" customWidth="1"/>
    <col min="5" max="5" width="0.38671875" customWidth="1"/>
    <col min="6" max="6" width="18.5546875" customWidth="1"/>
    <col min="7" max="7" width="23.5546875" customWidth="1"/>
    <col min="8" max="8" width="17.109375" customWidth="1"/>
    <col min="9" max="9" width="21.109375" customWidth="1"/>
    <col min="10" max="10" width="19.886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395</v>
      </c>
      <c r="D5" s="666"/>
      <c r="E5" s="666"/>
      <c r="F5" s="666"/>
      <c r="G5" s="667"/>
    </row>
    <row r="6" spans="1:11" ht="18" customHeight="1" x14ac:dyDescent="0.4">
      <c r="B6" s="1" t="s">
        <v>3</v>
      </c>
      <c r="C6" s="741">
        <v>210018</v>
      </c>
      <c r="D6" s="684"/>
      <c r="E6" s="684"/>
      <c r="F6" s="684"/>
      <c r="G6" s="685"/>
    </row>
    <row r="7" spans="1:11" ht="18" customHeight="1" x14ac:dyDescent="0.4">
      <c r="B7" s="1" t="s">
        <v>4</v>
      </c>
      <c r="C7" s="686">
        <v>1016</v>
      </c>
      <c r="D7" s="687"/>
      <c r="E7" s="687"/>
      <c r="F7" s="687"/>
      <c r="G7" s="688"/>
    </row>
    <row r="9" spans="1:11" ht="18" customHeight="1" x14ac:dyDescent="0.4">
      <c r="B9" s="1" t="s">
        <v>1</v>
      </c>
      <c r="C9" s="663" t="s">
        <v>433</v>
      </c>
      <c r="D9" s="666"/>
      <c r="E9" s="666"/>
      <c r="F9" s="666"/>
      <c r="G9" s="667"/>
    </row>
    <row r="10" spans="1:11" ht="18" customHeight="1" x14ac:dyDescent="0.4">
      <c r="B10" s="1" t="s">
        <v>2</v>
      </c>
      <c r="C10" s="660" t="s">
        <v>434</v>
      </c>
      <c r="D10" s="661"/>
      <c r="E10" s="661"/>
      <c r="F10" s="661"/>
      <c r="G10" s="662"/>
    </row>
    <row r="11" spans="1:11" ht="18" customHeight="1" x14ac:dyDescent="0.4">
      <c r="B11" s="1" t="s">
        <v>32</v>
      </c>
      <c r="C11" s="663" t="s">
        <v>435</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3364107.87</v>
      </c>
      <c r="I18" s="229">
        <v>0</v>
      </c>
      <c r="J18" s="307">
        <v>2788072.2</v>
      </c>
      <c r="K18" s="308">
        <f>H18-J18</f>
        <v>576035.66999999993</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321</v>
      </c>
      <c r="G21" s="306">
        <v>1936</v>
      </c>
      <c r="H21" s="319">
        <v>69994</v>
      </c>
      <c r="I21" s="229">
        <v>27359</v>
      </c>
      <c r="J21" s="319">
        <v>17065</v>
      </c>
      <c r="K21" s="351">
        <v>80288</v>
      </c>
    </row>
    <row r="22" spans="1:11" ht="18" customHeight="1" x14ac:dyDescent="0.4">
      <c r="A22" s="1" t="s">
        <v>76</v>
      </c>
      <c r="B22" t="s">
        <v>6</v>
      </c>
      <c r="F22" s="306"/>
      <c r="G22" s="306"/>
      <c r="H22" s="319"/>
      <c r="I22" s="229">
        <v>0</v>
      </c>
      <c r="J22" s="319"/>
      <c r="K22" s="351">
        <v>0</v>
      </c>
    </row>
    <row r="23" spans="1:11" ht="18" customHeight="1" x14ac:dyDescent="0.4">
      <c r="A23" s="1" t="s">
        <v>77</v>
      </c>
      <c r="B23" t="s">
        <v>43</v>
      </c>
      <c r="F23" s="306"/>
      <c r="G23" s="306"/>
      <c r="H23" s="319"/>
      <c r="I23" s="229">
        <v>0</v>
      </c>
      <c r="J23" s="319"/>
      <c r="K23" s="351">
        <v>0</v>
      </c>
    </row>
    <row r="24" spans="1:11" ht="18" customHeight="1" x14ac:dyDescent="0.4">
      <c r="A24" s="1" t="s">
        <v>78</v>
      </c>
      <c r="B24" t="s">
        <v>44</v>
      </c>
      <c r="F24" s="306" t="s">
        <v>85</v>
      </c>
      <c r="G24" s="306" t="s">
        <v>85</v>
      </c>
      <c r="H24" s="319" t="s">
        <v>85</v>
      </c>
      <c r="I24" s="229">
        <v>0</v>
      </c>
      <c r="J24" s="319" t="s">
        <v>85</v>
      </c>
      <c r="K24" s="351">
        <v>0</v>
      </c>
    </row>
    <row r="25" spans="1:11" ht="18" customHeight="1" x14ac:dyDescent="0.4">
      <c r="A25" s="1" t="s">
        <v>79</v>
      </c>
      <c r="B25" t="s">
        <v>5</v>
      </c>
      <c r="F25" s="306">
        <v>2064</v>
      </c>
      <c r="G25" s="306">
        <v>24769</v>
      </c>
      <c r="H25" s="319">
        <v>52539</v>
      </c>
      <c r="I25" s="229">
        <v>51961</v>
      </c>
      <c r="J25" s="319">
        <v>0</v>
      </c>
      <c r="K25" s="351">
        <v>104500</v>
      </c>
    </row>
    <row r="26" spans="1:11" ht="18" customHeight="1" x14ac:dyDescent="0.4">
      <c r="A26" s="1" t="s">
        <v>80</v>
      </c>
      <c r="B26" t="s">
        <v>45</v>
      </c>
      <c r="F26" s="306"/>
      <c r="G26" s="306"/>
      <c r="H26" s="319"/>
      <c r="I26" s="229">
        <v>0</v>
      </c>
      <c r="J26" s="319"/>
      <c r="K26" s="351">
        <v>0</v>
      </c>
    </row>
    <row r="27" spans="1:11" ht="18" customHeight="1" x14ac:dyDescent="0.4">
      <c r="A27" s="1" t="s">
        <v>81</v>
      </c>
      <c r="B27" t="s">
        <v>455</v>
      </c>
      <c r="F27" s="306"/>
      <c r="G27" s="306"/>
      <c r="H27" s="319"/>
      <c r="I27" s="229">
        <v>0</v>
      </c>
      <c r="J27" s="319"/>
      <c r="K27" s="351">
        <v>0</v>
      </c>
    </row>
    <row r="28" spans="1:11" ht="18" customHeight="1" x14ac:dyDescent="0.4">
      <c r="A28" s="1" t="s">
        <v>82</v>
      </c>
      <c r="B28" t="s">
        <v>47</v>
      </c>
      <c r="F28" s="306"/>
      <c r="G28" s="306"/>
      <c r="H28" s="319"/>
      <c r="I28" s="229">
        <v>0</v>
      </c>
      <c r="J28" s="319"/>
      <c r="K28" s="351">
        <v>0</v>
      </c>
    </row>
    <row r="29" spans="1:11" ht="18" customHeight="1" x14ac:dyDescent="0.4">
      <c r="A29" s="1" t="s">
        <v>83</v>
      </c>
      <c r="B29" t="s">
        <v>48</v>
      </c>
      <c r="F29" s="306">
        <v>245</v>
      </c>
      <c r="G29" s="306">
        <v>3365</v>
      </c>
      <c r="H29" s="319">
        <v>372504</v>
      </c>
      <c r="I29" s="229">
        <v>123797</v>
      </c>
      <c r="J29" s="319">
        <v>0</v>
      </c>
      <c r="K29" s="351">
        <v>496301</v>
      </c>
    </row>
    <row r="30" spans="1:11" ht="18" customHeight="1" x14ac:dyDescent="0.4">
      <c r="A30" s="1" t="s">
        <v>84</v>
      </c>
      <c r="B30" s="630"/>
      <c r="C30" s="631"/>
      <c r="D30" s="632"/>
      <c r="F30" s="306"/>
      <c r="G30" s="306"/>
      <c r="H30" s="319"/>
      <c r="I30" s="229">
        <v>0</v>
      </c>
      <c r="J30" s="319"/>
      <c r="K30" s="351">
        <v>0</v>
      </c>
    </row>
    <row r="31" spans="1:11" ht="18" customHeight="1" x14ac:dyDescent="0.4">
      <c r="A31" s="1" t="s">
        <v>133</v>
      </c>
      <c r="B31" s="630"/>
      <c r="C31" s="631"/>
      <c r="D31" s="632"/>
      <c r="F31" s="306"/>
      <c r="G31" s="306"/>
      <c r="H31" s="319"/>
      <c r="I31" s="229">
        <v>0</v>
      </c>
      <c r="J31" s="319"/>
      <c r="K31" s="351">
        <v>0</v>
      </c>
    </row>
    <row r="32" spans="1:11" ht="18" customHeight="1" x14ac:dyDescent="0.4">
      <c r="A32" s="1" t="s">
        <v>134</v>
      </c>
      <c r="B32" s="394"/>
      <c r="C32" s="395"/>
      <c r="D32" s="396"/>
      <c r="F32" s="306"/>
      <c r="G32" s="309" t="s">
        <v>85</v>
      </c>
      <c r="H32" s="319"/>
      <c r="I32" s="229">
        <v>0</v>
      </c>
      <c r="J32" s="319"/>
      <c r="K32" s="351">
        <v>0</v>
      </c>
    </row>
    <row r="33" spans="1:11" ht="18" customHeight="1" x14ac:dyDescent="0.4">
      <c r="A33" s="1" t="s">
        <v>135</v>
      </c>
      <c r="B33" s="394"/>
      <c r="C33" s="395"/>
      <c r="D33" s="396"/>
      <c r="F33" s="306"/>
      <c r="G33" s="309" t="s">
        <v>85</v>
      </c>
      <c r="H33" s="319"/>
      <c r="I33" s="229">
        <v>0</v>
      </c>
      <c r="J33" s="319"/>
      <c r="K33" s="351">
        <v>0</v>
      </c>
    </row>
    <row r="34" spans="1:11" ht="18" customHeight="1" x14ac:dyDescent="0.4">
      <c r="A34" s="1" t="s">
        <v>136</v>
      </c>
      <c r="B34" s="630"/>
      <c r="C34" s="631"/>
      <c r="D34" s="632"/>
      <c r="F34" s="306"/>
      <c r="G34" s="309" t="s">
        <v>85</v>
      </c>
      <c r="H34" s="319"/>
      <c r="I34" s="229">
        <v>0</v>
      </c>
      <c r="J34" s="319"/>
      <c r="K34" s="351">
        <v>0</v>
      </c>
    </row>
    <row r="35" spans="1:11" ht="18" customHeight="1" x14ac:dyDescent="0.4">
      <c r="H35" s="87"/>
      <c r="I35" s="87"/>
      <c r="J35" s="87"/>
      <c r="K35" s="487"/>
    </row>
    <row r="36" spans="1:11" ht="18" customHeight="1" x14ac:dyDescent="0.4">
      <c r="A36" s="98" t="s">
        <v>137</v>
      </c>
      <c r="B36" s="95" t="s">
        <v>138</v>
      </c>
      <c r="E36" s="95" t="s">
        <v>7</v>
      </c>
      <c r="F36" s="310">
        <v>2630</v>
      </c>
      <c r="G36" s="310">
        <v>30070</v>
      </c>
      <c r="H36" s="351">
        <v>495037</v>
      </c>
      <c r="I36" s="351">
        <v>203117</v>
      </c>
      <c r="J36" s="351">
        <v>17065</v>
      </c>
      <c r="K36" s="351">
        <v>681089</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500</v>
      </c>
      <c r="G40" s="306">
        <v>40</v>
      </c>
      <c r="H40" s="319">
        <v>18484</v>
      </c>
      <c r="I40" s="229">
        <v>18281</v>
      </c>
      <c r="J40" s="319">
        <v>0</v>
      </c>
      <c r="K40" s="351">
        <v>36765</v>
      </c>
    </row>
    <row r="41" spans="1:11" ht="18" customHeight="1" x14ac:dyDescent="0.4">
      <c r="A41" s="1" t="s">
        <v>88</v>
      </c>
      <c r="B41" s="635" t="s">
        <v>50</v>
      </c>
      <c r="C41" s="636"/>
      <c r="F41" s="306">
        <v>85.3</v>
      </c>
      <c r="G41" s="306">
        <v>125</v>
      </c>
      <c r="H41" s="319">
        <v>4492</v>
      </c>
      <c r="I41" s="229">
        <v>4443</v>
      </c>
      <c r="J41" s="319">
        <v>0</v>
      </c>
      <c r="K41" s="351">
        <v>8935</v>
      </c>
    </row>
    <row r="42" spans="1:11" ht="18" customHeight="1" x14ac:dyDescent="0.4">
      <c r="A42" s="1" t="s">
        <v>89</v>
      </c>
      <c r="B42" s="94" t="s">
        <v>11</v>
      </c>
      <c r="F42" s="306">
        <v>2574</v>
      </c>
      <c r="G42" s="306">
        <v>12</v>
      </c>
      <c r="H42" s="319">
        <v>98801</v>
      </c>
      <c r="I42" s="229">
        <v>97714</v>
      </c>
      <c r="J42" s="319">
        <v>0</v>
      </c>
      <c r="K42" s="351">
        <v>196515</v>
      </c>
    </row>
    <row r="43" spans="1:11" ht="18" customHeight="1" x14ac:dyDescent="0.4">
      <c r="A43" s="1" t="s">
        <v>90</v>
      </c>
      <c r="B43" s="94" t="s">
        <v>10</v>
      </c>
      <c r="F43" s="306"/>
      <c r="G43" s="306"/>
      <c r="H43" s="319"/>
      <c r="I43" s="229"/>
      <c r="J43" s="319"/>
      <c r="K43" s="351"/>
    </row>
    <row r="44" spans="1:11" ht="18" customHeight="1" x14ac:dyDescent="0.4">
      <c r="A44" s="1" t="s">
        <v>91</v>
      </c>
      <c r="B44" s="630"/>
      <c r="C44" s="631"/>
      <c r="D44" s="632"/>
      <c r="F44" s="311"/>
      <c r="G44" s="311"/>
      <c r="H44" s="348"/>
      <c r="I44" s="488"/>
      <c r="J44" s="348"/>
      <c r="K44" s="489"/>
    </row>
    <row r="45" spans="1:11" ht="18" customHeight="1" x14ac:dyDescent="0.4">
      <c r="A45" s="1" t="s">
        <v>139</v>
      </c>
      <c r="B45" s="630"/>
      <c r="C45" s="631"/>
      <c r="D45" s="632"/>
      <c r="F45" s="306"/>
      <c r="G45" s="306"/>
      <c r="H45" s="319"/>
      <c r="I45" s="229"/>
      <c r="J45" s="319"/>
      <c r="K45" s="351"/>
    </row>
    <row r="46" spans="1:11" ht="18" customHeight="1" x14ac:dyDescent="0.4">
      <c r="A46" s="1" t="s">
        <v>140</v>
      </c>
      <c r="B46" s="630"/>
      <c r="C46" s="631"/>
      <c r="D46" s="632"/>
      <c r="F46" s="306"/>
      <c r="G46" s="306"/>
      <c r="H46" s="319"/>
      <c r="I46" s="229"/>
      <c r="J46" s="319"/>
      <c r="K46" s="351"/>
    </row>
    <row r="47" spans="1:11" ht="18" customHeight="1" x14ac:dyDescent="0.4">
      <c r="A47" s="1" t="s">
        <v>141</v>
      </c>
      <c r="B47" s="630"/>
      <c r="C47" s="631"/>
      <c r="D47" s="632"/>
      <c r="F47" s="306"/>
      <c r="G47" s="306"/>
      <c r="H47" s="319"/>
      <c r="I47" s="229"/>
      <c r="J47" s="319"/>
      <c r="K47" s="351"/>
    </row>
    <row r="48" spans="1:11" ht="18" customHeight="1" x14ac:dyDescent="0.4">
      <c r="H48" s="87"/>
      <c r="I48" s="87"/>
      <c r="J48" s="87"/>
      <c r="K48" s="87"/>
    </row>
    <row r="49" spans="1:11" ht="18" customHeight="1" x14ac:dyDescent="0.4">
      <c r="A49" s="98" t="s">
        <v>142</v>
      </c>
      <c r="B49" s="95" t="s">
        <v>143</v>
      </c>
      <c r="E49" s="95" t="s">
        <v>7</v>
      </c>
      <c r="F49" s="312">
        <v>3159.3</v>
      </c>
      <c r="G49" s="312">
        <v>177</v>
      </c>
      <c r="H49" s="351">
        <v>121777</v>
      </c>
      <c r="I49" s="351">
        <v>120438</v>
      </c>
      <c r="J49" s="351">
        <v>0</v>
      </c>
      <c r="K49" s="351">
        <v>242215</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40" t="s">
        <v>313</v>
      </c>
      <c r="C53" s="659"/>
      <c r="D53" s="654"/>
      <c r="F53" s="306">
        <v>0</v>
      </c>
      <c r="G53" s="306">
        <v>0</v>
      </c>
      <c r="H53" s="319">
        <v>4960178</v>
      </c>
      <c r="I53" s="229">
        <v>0</v>
      </c>
      <c r="J53" s="319">
        <v>3778510</v>
      </c>
      <c r="K53" s="351">
        <v>1181668</v>
      </c>
    </row>
    <row r="54" spans="1:11" ht="18" customHeight="1" x14ac:dyDescent="0.4">
      <c r="A54" s="1" t="s">
        <v>93</v>
      </c>
      <c r="B54" s="400"/>
      <c r="C54" s="401"/>
      <c r="D54" s="402"/>
      <c r="F54" s="306"/>
      <c r="G54" s="306"/>
      <c r="H54" s="319"/>
      <c r="I54" s="229"/>
      <c r="J54" s="319"/>
      <c r="K54" s="351"/>
    </row>
    <row r="55" spans="1:11" ht="18" customHeight="1" x14ac:dyDescent="0.4">
      <c r="A55" s="1" t="s">
        <v>94</v>
      </c>
      <c r="B55" s="655"/>
      <c r="C55" s="653"/>
      <c r="D55" s="654"/>
      <c r="F55" s="306"/>
      <c r="G55" s="306"/>
      <c r="H55" s="319"/>
      <c r="I55" s="229"/>
      <c r="J55" s="319"/>
      <c r="K55" s="351"/>
    </row>
    <row r="56" spans="1:11" ht="18" customHeight="1" x14ac:dyDescent="0.4">
      <c r="A56" s="1" t="s">
        <v>95</v>
      </c>
      <c r="B56" s="655"/>
      <c r="C56" s="653"/>
      <c r="D56" s="654"/>
      <c r="F56" s="306"/>
      <c r="G56" s="306"/>
      <c r="H56" s="319"/>
      <c r="I56" s="229"/>
      <c r="J56" s="319"/>
      <c r="K56" s="351"/>
    </row>
    <row r="57" spans="1:11" ht="18" customHeight="1" x14ac:dyDescent="0.4">
      <c r="A57" s="1" t="s">
        <v>96</v>
      </c>
      <c r="B57" s="655" t="s">
        <v>518</v>
      </c>
      <c r="C57" s="653"/>
      <c r="D57" s="654"/>
      <c r="F57" s="306">
        <v>0</v>
      </c>
      <c r="G57" s="306">
        <v>0</v>
      </c>
      <c r="H57" s="319">
        <v>5884618</v>
      </c>
      <c r="I57" s="229">
        <v>0</v>
      </c>
      <c r="J57" s="319">
        <v>3783447</v>
      </c>
      <c r="K57" s="351">
        <v>2101171</v>
      </c>
    </row>
    <row r="58" spans="1:11" ht="18" customHeight="1" x14ac:dyDescent="0.4">
      <c r="A58" s="1" t="s">
        <v>97</v>
      </c>
      <c r="B58" s="400"/>
      <c r="C58" s="401"/>
      <c r="D58" s="402"/>
      <c r="F58" s="306"/>
      <c r="G58" s="306"/>
      <c r="H58" s="319"/>
      <c r="I58" s="229"/>
      <c r="J58" s="319"/>
      <c r="K58" s="351"/>
    </row>
    <row r="59" spans="1:11" ht="18" customHeight="1" x14ac:dyDescent="0.4">
      <c r="A59" s="1" t="s">
        <v>98</v>
      </c>
      <c r="B59" s="655" t="s">
        <v>519</v>
      </c>
      <c r="C59" s="653"/>
      <c r="D59" s="654"/>
      <c r="F59" s="306">
        <v>0</v>
      </c>
      <c r="G59" s="306">
        <v>0</v>
      </c>
      <c r="H59" s="319">
        <v>315287</v>
      </c>
      <c r="I59" s="229">
        <v>0</v>
      </c>
      <c r="J59" s="319">
        <v>92651</v>
      </c>
      <c r="K59" s="351">
        <v>222636</v>
      </c>
    </row>
    <row r="60" spans="1:11" ht="18" customHeight="1" x14ac:dyDescent="0.4">
      <c r="A60" s="1" t="s">
        <v>99</v>
      </c>
      <c r="B60" s="400"/>
      <c r="C60" s="401"/>
      <c r="D60" s="402"/>
      <c r="F60" s="306"/>
      <c r="G60" s="306"/>
      <c r="H60" s="319"/>
      <c r="I60" s="229"/>
      <c r="J60" s="319"/>
      <c r="K60" s="351"/>
    </row>
    <row r="61" spans="1:11" ht="18" customHeight="1" x14ac:dyDescent="0.4">
      <c r="A61" s="1" t="s">
        <v>100</v>
      </c>
      <c r="B61" s="400"/>
      <c r="C61" s="401"/>
      <c r="D61" s="402"/>
      <c r="F61" s="306"/>
      <c r="G61" s="306"/>
      <c r="H61" s="319"/>
      <c r="I61" s="229"/>
      <c r="J61" s="319"/>
      <c r="K61" s="351"/>
    </row>
    <row r="62" spans="1:11" ht="18" customHeight="1" x14ac:dyDescent="0.4">
      <c r="A62" s="1" t="s">
        <v>101</v>
      </c>
      <c r="B62" s="655"/>
      <c r="C62" s="653"/>
      <c r="D62" s="654"/>
      <c r="F62" s="306"/>
      <c r="G62" s="306"/>
      <c r="H62" s="319"/>
      <c r="I62" s="229"/>
      <c r="J62" s="319"/>
      <c r="K62" s="351"/>
    </row>
    <row r="63" spans="1:11" ht="18" customHeight="1" x14ac:dyDescent="0.4">
      <c r="A63" s="1"/>
      <c r="H63" s="87"/>
      <c r="I63" s="490"/>
      <c r="J63" s="87"/>
      <c r="K63" s="87"/>
    </row>
    <row r="64" spans="1:11" ht="18" customHeight="1" x14ac:dyDescent="0.4">
      <c r="A64" s="1" t="s">
        <v>144</v>
      </c>
      <c r="B64" s="95" t="s">
        <v>145</v>
      </c>
      <c r="E64" s="95" t="s">
        <v>7</v>
      </c>
      <c r="F64" s="310">
        <v>0</v>
      </c>
      <c r="G64" s="310">
        <v>0</v>
      </c>
      <c r="H64" s="351">
        <v>11160083</v>
      </c>
      <c r="I64" s="351">
        <v>0</v>
      </c>
      <c r="J64" s="351">
        <v>7654608</v>
      </c>
      <c r="K64" s="351">
        <v>3505475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v>0</v>
      </c>
    </row>
    <row r="69" spans="1:11" ht="18" customHeight="1" x14ac:dyDescent="0.4">
      <c r="A69" s="1" t="s">
        <v>104</v>
      </c>
      <c r="B69" s="94" t="s">
        <v>53</v>
      </c>
      <c r="F69" s="313"/>
      <c r="G69" s="313"/>
      <c r="H69" s="313"/>
      <c r="I69" s="115">
        <v>0</v>
      </c>
      <c r="J69" s="313"/>
      <c r="K69" s="308">
        <v>0</v>
      </c>
    </row>
    <row r="70" spans="1:11" ht="18" customHeight="1" x14ac:dyDescent="0.4">
      <c r="A70" s="1" t="s">
        <v>178</v>
      </c>
      <c r="B70" s="400"/>
      <c r="C70" s="401"/>
      <c r="D70" s="402"/>
      <c r="E70" s="95"/>
      <c r="F70" s="104"/>
      <c r="G70" s="104"/>
      <c r="H70" s="105"/>
      <c r="I70" s="115">
        <v>0</v>
      </c>
      <c r="J70" s="105"/>
      <c r="K70" s="308">
        <v>0</v>
      </c>
    </row>
    <row r="71" spans="1:11" ht="18" customHeight="1" x14ac:dyDescent="0.4">
      <c r="A71" s="1" t="s">
        <v>179</v>
      </c>
      <c r="B71" s="400"/>
      <c r="C71" s="401"/>
      <c r="D71" s="402"/>
      <c r="E71" s="95"/>
      <c r="F71" s="104"/>
      <c r="G71" s="104"/>
      <c r="H71" s="105"/>
      <c r="I71" s="115">
        <v>0</v>
      </c>
      <c r="J71" s="105"/>
      <c r="K71" s="308">
        <v>0</v>
      </c>
    </row>
    <row r="72" spans="1:11" ht="18" customHeight="1" x14ac:dyDescent="0.4">
      <c r="A72" s="1" t="s">
        <v>180</v>
      </c>
      <c r="B72" s="406"/>
      <c r="C72" s="407"/>
      <c r="D72" s="408"/>
      <c r="E72" s="95"/>
      <c r="F72" s="306"/>
      <c r="G72" s="306"/>
      <c r="H72" s="307"/>
      <c r="I72" s="115">
        <v>0</v>
      </c>
      <c r="J72" s="307"/>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0</v>
      </c>
      <c r="G74" s="411">
        <v>0</v>
      </c>
      <c r="H74" s="411">
        <v>0</v>
      </c>
      <c r="I74" s="412">
        <v>0</v>
      </c>
      <c r="J74" s="411">
        <v>0</v>
      </c>
      <c r="K74" s="30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2648</v>
      </c>
      <c r="H77" s="319">
        <v>126151</v>
      </c>
      <c r="I77" s="229">
        <v>0</v>
      </c>
      <c r="J77" s="319">
        <v>0</v>
      </c>
      <c r="K77" s="351">
        <v>126151</v>
      </c>
    </row>
    <row r="78" spans="1:11" ht="18" customHeight="1" x14ac:dyDescent="0.4">
      <c r="A78" s="1" t="s">
        <v>108</v>
      </c>
      <c r="B78" s="94" t="s">
        <v>55</v>
      </c>
      <c r="F78" s="306"/>
      <c r="G78" s="306"/>
      <c r="H78" s="319"/>
      <c r="I78" s="229"/>
      <c r="J78" s="319"/>
      <c r="K78" s="351"/>
    </row>
    <row r="79" spans="1:11" ht="18" customHeight="1" x14ac:dyDescent="0.4">
      <c r="A79" s="1" t="s">
        <v>109</v>
      </c>
      <c r="B79" s="94" t="s">
        <v>13</v>
      </c>
      <c r="F79" s="306">
        <v>21</v>
      </c>
      <c r="G79" s="306">
        <v>125</v>
      </c>
      <c r="H79" s="319">
        <v>6174</v>
      </c>
      <c r="I79" s="229">
        <v>2196</v>
      </c>
      <c r="J79" s="319">
        <v>0</v>
      </c>
      <c r="K79" s="351">
        <v>8370</v>
      </c>
    </row>
    <row r="80" spans="1:11" ht="18" customHeight="1" x14ac:dyDescent="0.4">
      <c r="A80" s="1" t="s">
        <v>110</v>
      </c>
      <c r="B80" s="94" t="s">
        <v>56</v>
      </c>
      <c r="F80" s="306"/>
      <c r="G80" s="306"/>
      <c r="H80" s="319"/>
      <c r="I80" s="229"/>
      <c r="J80" s="319"/>
      <c r="K80" s="351"/>
    </row>
    <row r="81" spans="1:11" ht="18" customHeight="1" x14ac:dyDescent="0.4">
      <c r="A81" s="1"/>
      <c r="H81" s="87"/>
      <c r="I81" s="87"/>
      <c r="J81" s="87"/>
      <c r="K81" s="373"/>
    </row>
    <row r="82" spans="1:11" ht="18" customHeight="1" x14ac:dyDescent="0.4">
      <c r="A82" s="1" t="s">
        <v>148</v>
      </c>
      <c r="B82" s="95" t="s">
        <v>149</v>
      </c>
      <c r="E82" s="95" t="s">
        <v>7</v>
      </c>
      <c r="F82" s="310">
        <v>21</v>
      </c>
      <c r="G82" s="310">
        <v>2773</v>
      </c>
      <c r="H82" s="351">
        <v>132325</v>
      </c>
      <c r="I82" s="351">
        <v>2196</v>
      </c>
      <c r="J82" s="351">
        <v>0</v>
      </c>
      <c r="K82" s="351">
        <v>134521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c r="J86" s="307"/>
      <c r="K86" s="308"/>
    </row>
    <row r="87" spans="1:11" ht="18" customHeight="1" x14ac:dyDescent="0.4">
      <c r="A87" s="1" t="s">
        <v>114</v>
      </c>
      <c r="B87" s="94" t="s">
        <v>14</v>
      </c>
      <c r="F87" s="306"/>
      <c r="G87" s="306"/>
      <c r="H87" s="307"/>
      <c r="I87" s="115"/>
      <c r="J87" s="307"/>
      <c r="K87" s="308"/>
    </row>
    <row r="88" spans="1:11" ht="18" customHeight="1" x14ac:dyDescent="0.4">
      <c r="A88" s="1" t="s">
        <v>115</v>
      </c>
      <c r="B88" s="94" t="s">
        <v>116</v>
      </c>
      <c r="F88" s="306"/>
      <c r="G88" s="306"/>
      <c r="H88" s="307"/>
      <c r="I88" s="115"/>
      <c r="J88" s="307"/>
      <c r="K88" s="308"/>
    </row>
    <row r="89" spans="1:11" ht="18" customHeight="1" x14ac:dyDescent="0.4">
      <c r="A89" s="1" t="s">
        <v>117</v>
      </c>
      <c r="B89" s="94" t="s">
        <v>58</v>
      </c>
      <c r="F89" s="306"/>
      <c r="G89" s="306"/>
      <c r="H89" s="307"/>
      <c r="I89" s="115"/>
      <c r="J89" s="307"/>
      <c r="K89" s="308"/>
    </row>
    <row r="90" spans="1:11" ht="18" customHeight="1" x14ac:dyDescent="0.4">
      <c r="A90" s="1" t="s">
        <v>118</v>
      </c>
      <c r="B90" s="635" t="s">
        <v>59</v>
      </c>
      <c r="C90" s="636"/>
      <c r="F90" s="306"/>
      <c r="G90" s="306"/>
      <c r="H90" s="307"/>
      <c r="I90" s="115"/>
      <c r="J90" s="307"/>
      <c r="K90" s="308"/>
    </row>
    <row r="91" spans="1:11" ht="18" customHeight="1" x14ac:dyDescent="0.4">
      <c r="A91" s="1" t="s">
        <v>119</v>
      </c>
      <c r="B91" s="94" t="s">
        <v>60</v>
      </c>
      <c r="F91" s="306">
        <v>16</v>
      </c>
      <c r="G91" s="306">
        <v>0</v>
      </c>
      <c r="H91" s="319">
        <v>1801</v>
      </c>
      <c r="I91" s="229">
        <v>501</v>
      </c>
      <c r="J91" s="319">
        <v>0</v>
      </c>
      <c r="K91" s="351">
        <v>2302</v>
      </c>
    </row>
    <row r="92" spans="1:11" ht="18" customHeight="1" x14ac:dyDescent="0.4">
      <c r="A92" s="1" t="s">
        <v>120</v>
      </c>
      <c r="B92" s="94" t="s">
        <v>121</v>
      </c>
      <c r="F92" s="107">
        <v>0</v>
      </c>
      <c r="G92" s="107">
        <v>0</v>
      </c>
      <c r="H92" s="491">
        <v>26386</v>
      </c>
      <c r="I92" s="229">
        <v>0</v>
      </c>
      <c r="J92" s="491">
        <v>0</v>
      </c>
      <c r="K92" s="351">
        <v>26386</v>
      </c>
    </row>
    <row r="93" spans="1:11" ht="18" customHeight="1" x14ac:dyDescent="0.4">
      <c r="A93" s="1" t="s">
        <v>122</v>
      </c>
      <c r="B93" s="94" t="s">
        <v>123</v>
      </c>
      <c r="F93" s="306">
        <v>4.5</v>
      </c>
      <c r="G93" s="306">
        <v>0</v>
      </c>
      <c r="H93" s="319">
        <v>9175</v>
      </c>
      <c r="I93" s="229">
        <v>0</v>
      </c>
      <c r="J93" s="319">
        <v>0</v>
      </c>
      <c r="K93" s="351">
        <v>9175</v>
      </c>
    </row>
    <row r="94" spans="1:11" ht="18" customHeight="1" x14ac:dyDescent="0.4">
      <c r="A94" s="1" t="s">
        <v>124</v>
      </c>
      <c r="B94" s="655"/>
      <c r="C94" s="653"/>
      <c r="D94" s="654"/>
      <c r="F94" s="306"/>
      <c r="G94" s="306"/>
      <c r="H94" s="319"/>
      <c r="I94" s="229"/>
      <c r="J94" s="319"/>
      <c r="K94" s="351"/>
    </row>
    <row r="95" spans="1:11" ht="18" customHeight="1" x14ac:dyDescent="0.4">
      <c r="A95" s="1" t="s">
        <v>125</v>
      </c>
      <c r="B95" s="655"/>
      <c r="C95" s="653"/>
      <c r="D95" s="654"/>
      <c r="F95" s="306"/>
      <c r="G95" s="306"/>
      <c r="H95" s="319"/>
      <c r="I95" s="229"/>
      <c r="J95" s="319"/>
      <c r="K95" s="351"/>
    </row>
    <row r="96" spans="1:11" ht="18" customHeight="1" x14ac:dyDescent="0.4">
      <c r="A96" s="1" t="s">
        <v>126</v>
      </c>
      <c r="B96" s="655"/>
      <c r="C96" s="653"/>
      <c r="D96" s="654"/>
      <c r="F96" s="306"/>
      <c r="G96" s="306"/>
      <c r="H96" s="319"/>
      <c r="I96" s="229"/>
      <c r="J96" s="319"/>
      <c r="K96" s="351"/>
    </row>
    <row r="97" spans="1:11" ht="18" customHeight="1" x14ac:dyDescent="0.4">
      <c r="A97" s="1"/>
      <c r="B97" s="94"/>
      <c r="H97" s="87"/>
      <c r="I97" s="87"/>
      <c r="J97" s="87"/>
      <c r="K97" s="87"/>
    </row>
    <row r="98" spans="1:11" ht="18" customHeight="1" x14ac:dyDescent="0.4">
      <c r="A98" s="98" t="s">
        <v>150</v>
      </c>
      <c r="B98" s="95" t="s">
        <v>151</v>
      </c>
      <c r="E98" s="95" t="s">
        <v>7</v>
      </c>
      <c r="F98" s="310">
        <v>20.5</v>
      </c>
      <c r="G98" s="310">
        <v>0</v>
      </c>
      <c r="H98" s="319">
        <v>37362</v>
      </c>
      <c r="I98" s="319">
        <v>501</v>
      </c>
      <c r="J98" s="319">
        <v>0</v>
      </c>
      <c r="K98" s="351">
        <v>37863</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0</v>
      </c>
      <c r="G102" s="306">
        <v>0</v>
      </c>
      <c r="H102" s="319">
        <v>243620</v>
      </c>
      <c r="I102" s="229">
        <v>0</v>
      </c>
      <c r="J102" s="319">
        <v>0</v>
      </c>
      <c r="K102" s="351">
        <v>243620</v>
      </c>
    </row>
    <row r="103" spans="1:11" ht="18" customHeight="1" x14ac:dyDescent="0.4">
      <c r="A103" s="1" t="s">
        <v>132</v>
      </c>
      <c r="B103" s="635"/>
      <c r="C103" s="635"/>
      <c r="F103" s="306"/>
      <c r="G103" s="306"/>
      <c r="H103" s="319"/>
      <c r="I103" s="229"/>
      <c r="J103" s="319"/>
      <c r="K103" s="351"/>
    </row>
    <row r="104" spans="1:11" ht="18" customHeight="1" x14ac:dyDescent="0.4">
      <c r="A104" s="1" t="s">
        <v>128</v>
      </c>
      <c r="B104" s="655" t="s">
        <v>298</v>
      </c>
      <c r="C104" s="653"/>
      <c r="D104" s="654"/>
      <c r="F104" s="306">
        <v>0</v>
      </c>
      <c r="G104" s="306">
        <v>0</v>
      </c>
      <c r="H104" s="319">
        <v>112592</v>
      </c>
      <c r="I104" s="229">
        <v>0</v>
      </c>
      <c r="J104" s="319">
        <v>0</v>
      </c>
      <c r="K104" s="351">
        <v>112592</v>
      </c>
    </row>
    <row r="105" spans="1:11" ht="18" customHeight="1" x14ac:dyDescent="0.4">
      <c r="A105" s="1" t="s">
        <v>127</v>
      </c>
      <c r="B105" s="655"/>
      <c r="C105" s="653"/>
      <c r="D105" s="654"/>
      <c r="F105" s="306"/>
      <c r="G105" s="306"/>
      <c r="H105" s="319"/>
      <c r="I105" s="229"/>
      <c r="J105" s="319"/>
      <c r="K105" s="351"/>
    </row>
    <row r="106" spans="1:11" ht="18" customHeight="1" x14ac:dyDescent="0.4">
      <c r="A106" s="1" t="s">
        <v>129</v>
      </c>
      <c r="B106" s="655"/>
      <c r="C106" s="653"/>
      <c r="D106" s="654"/>
      <c r="F106" s="306"/>
      <c r="G106" s="306"/>
      <c r="H106" s="319"/>
      <c r="I106" s="229"/>
      <c r="J106" s="319"/>
      <c r="K106" s="351"/>
    </row>
    <row r="107" spans="1:11" ht="18" customHeight="1" x14ac:dyDescent="0.4">
      <c r="B107" s="95"/>
      <c r="H107" s="87"/>
      <c r="I107" s="87"/>
      <c r="J107" s="87"/>
      <c r="K107" s="87"/>
    </row>
    <row r="108" spans="1:11" ht="18" customHeight="1" x14ac:dyDescent="0.4">
      <c r="A108" s="98" t="s">
        <v>153</v>
      </c>
      <c r="B108" s="95" t="s">
        <v>154</v>
      </c>
      <c r="E108" s="95" t="s">
        <v>7</v>
      </c>
      <c r="F108" s="310">
        <v>0</v>
      </c>
      <c r="G108" s="310">
        <v>0</v>
      </c>
      <c r="H108" s="351">
        <v>356212</v>
      </c>
      <c r="I108" s="351">
        <v>0</v>
      </c>
      <c r="J108" s="351">
        <v>0</v>
      </c>
      <c r="K108" s="351">
        <v>356212</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3193638</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44">
        <v>0.98880000000000001</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19">
        <v>167522757.28999999</v>
      </c>
    </row>
    <row r="118" spans="1:6" ht="18" customHeight="1" x14ac:dyDescent="0.4">
      <c r="A118" s="1" t="s">
        <v>173</v>
      </c>
      <c r="B118" t="s">
        <v>18</v>
      </c>
      <c r="F118" s="319">
        <v>7512234.7800000003</v>
      </c>
    </row>
    <row r="119" spans="1:6" ht="18" customHeight="1" x14ac:dyDescent="0.4">
      <c r="A119" s="1" t="s">
        <v>174</v>
      </c>
      <c r="B119" s="95" t="s">
        <v>19</v>
      </c>
      <c r="F119" s="351">
        <v>175034992.06999999</v>
      </c>
    </row>
    <row r="120" spans="1:6" ht="18" customHeight="1" x14ac:dyDescent="0.4">
      <c r="A120" s="1"/>
      <c r="B120" s="95"/>
      <c r="F120" s="87"/>
    </row>
    <row r="121" spans="1:6" ht="18" customHeight="1" x14ac:dyDescent="0.4">
      <c r="A121" s="1" t="s">
        <v>167</v>
      </c>
      <c r="B121" s="95" t="s">
        <v>36</v>
      </c>
      <c r="F121" s="319">
        <v>171486283.47</v>
      </c>
    </row>
    <row r="122" spans="1:6" ht="18" customHeight="1" x14ac:dyDescent="0.4">
      <c r="A122" s="1"/>
      <c r="F122" s="87"/>
    </row>
    <row r="123" spans="1:6" ht="18" customHeight="1" x14ac:dyDescent="0.4">
      <c r="A123" s="1" t="s">
        <v>175</v>
      </c>
      <c r="B123" s="95" t="s">
        <v>20</v>
      </c>
      <c r="F123" s="319">
        <v>3548708.599999994</v>
      </c>
    </row>
    <row r="124" spans="1:6" ht="18" customHeight="1" x14ac:dyDescent="0.4">
      <c r="A124" s="1"/>
      <c r="F124" s="87"/>
    </row>
    <row r="125" spans="1:6" ht="18" customHeight="1" x14ac:dyDescent="0.4">
      <c r="A125" s="1" t="s">
        <v>176</v>
      </c>
      <c r="B125" s="95" t="s">
        <v>21</v>
      </c>
      <c r="F125" s="319">
        <v>336413.77</v>
      </c>
    </row>
    <row r="126" spans="1:6" ht="18" customHeight="1" x14ac:dyDescent="0.4">
      <c r="A126" s="1"/>
      <c r="F126" s="87"/>
    </row>
    <row r="127" spans="1:6" ht="18" customHeight="1" x14ac:dyDescent="0.4">
      <c r="A127" s="1" t="s">
        <v>177</v>
      </c>
      <c r="B127" s="95" t="s">
        <v>22</v>
      </c>
      <c r="F127" s="319">
        <v>3885122.3699999941</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v>2630</v>
      </c>
      <c r="G141" s="109">
        <v>30070</v>
      </c>
      <c r="H141" s="109">
        <v>495037</v>
      </c>
      <c r="I141" s="109">
        <v>203117</v>
      </c>
      <c r="J141" s="109">
        <v>17065</v>
      </c>
      <c r="K141" s="109">
        <v>681089</v>
      </c>
    </row>
    <row r="142" spans="1:11" ht="18" customHeight="1" x14ac:dyDescent="0.4">
      <c r="A142" s="1" t="s">
        <v>142</v>
      </c>
      <c r="B142" s="95" t="s">
        <v>65</v>
      </c>
      <c r="F142" s="109">
        <v>3159.3</v>
      </c>
      <c r="G142" s="109">
        <v>177</v>
      </c>
      <c r="H142" s="109">
        <v>121777</v>
      </c>
      <c r="I142" s="109">
        <v>120438</v>
      </c>
      <c r="J142" s="109">
        <v>0</v>
      </c>
      <c r="K142" s="109">
        <v>242215</v>
      </c>
    </row>
    <row r="143" spans="1:11" ht="18" customHeight="1" x14ac:dyDescent="0.4">
      <c r="A143" s="1" t="s">
        <v>144</v>
      </c>
      <c r="B143" s="95" t="s">
        <v>66</v>
      </c>
      <c r="F143" s="109">
        <v>0</v>
      </c>
      <c r="G143" s="109">
        <v>0</v>
      </c>
      <c r="H143" s="109">
        <v>11160083</v>
      </c>
      <c r="I143" s="109">
        <v>0</v>
      </c>
      <c r="J143" s="109">
        <v>7654608</v>
      </c>
      <c r="K143" s="109">
        <v>3505475</v>
      </c>
    </row>
    <row r="144" spans="1:11" ht="18" customHeight="1" x14ac:dyDescent="0.4">
      <c r="A144" s="1" t="s">
        <v>146</v>
      </c>
      <c r="B144" s="95" t="s">
        <v>67</v>
      </c>
      <c r="F144" s="109">
        <v>0</v>
      </c>
      <c r="G144" s="109">
        <v>0</v>
      </c>
      <c r="H144" s="109">
        <v>0</v>
      </c>
      <c r="I144" s="109">
        <v>0</v>
      </c>
      <c r="J144" s="109">
        <v>0</v>
      </c>
      <c r="K144" s="109">
        <v>0</v>
      </c>
    </row>
    <row r="145" spans="1:11" ht="18" customHeight="1" x14ac:dyDescent="0.4">
      <c r="A145" s="1" t="s">
        <v>148</v>
      </c>
      <c r="B145" s="95" t="s">
        <v>68</v>
      </c>
      <c r="F145" s="109">
        <v>21</v>
      </c>
      <c r="G145" s="109">
        <v>2773</v>
      </c>
      <c r="H145" s="109">
        <v>132325</v>
      </c>
      <c r="I145" s="109">
        <v>2196</v>
      </c>
      <c r="J145" s="109">
        <v>0</v>
      </c>
      <c r="K145" s="109">
        <v>134521</v>
      </c>
    </row>
    <row r="146" spans="1:11" ht="18" customHeight="1" x14ac:dyDescent="0.4">
      <c r="A146" s="1" t="s">
        <v>150</v>
      </c>
      <c r="B146" s="95" t="s">
        <v>69</v>
      </c>
      <c r="F146" s="109">
        <v>20.5</v>
      </c>
      <c r="G146" s="109">
        <v>0</v>
      </c>
      <c r="H146" s="109">
        <v>37362</v>
      </c>
      <c r="I146" s="109">
        <v>501</v>
      </c>
      <c r="J146" s="109">
        <v>0</v>
      </c>
      <c r="K146" s="109">
        <v>37863</v>
      </c>
    </row>
    <row r="147" spans="1:11" ht="18" customHeight="1" x14ac:dyDescent="0.4">
      <c r="A147" s="1" t="s">
        <v>153</v>
      </c>
      <c r="B147" s="95" t="s">
        <v>61</v>
      </c>
      <c r="F147" s="310">
        <v>0</v>
      </c>
      <c r="G147" s="310">
        <v>0</v>
      </c>
      <c r="H147" s="310">
        <v>356212</v>
      </c>
      <c r="I147" s="310">
        <v>0</v>
      </c>
      <c r="J147" s="310">
        <v>0</v>
      </c>
      <c r="K147" s="310">
        <v>356212</v>
      </c>
    </row>
    <row r="148" spans="1:11" ht="18" customHeight="1" x14ac:dyDescent="0.4">
      <c r="A148" s="1" t="s">
        <v>155</v>
      </c>
      <c r="B148" s="95" t="s">
        <v>70</v>
      </c>
      <c r="F148" s="492"/>
      <c r="G148" s="492"/>
      <c r="H148" s="493"/>
      <c r="I148" s="493"/>
      <c r="J148" s="493"/>
      <c r="K148" s="217">
        <v>3193638</v>
      </c>
    </row>
    <row r="149" spans="1:11" ht="18" customHeight="1" x14ac:dyDescent="0.4">
      <c r="A149" s="1" t="s">
        <v>163</v>
      </c>
      <c r="B149" s="95" t="s">
        <v>71</v>
      </c>
      <c r="F149" s="345">
        <v>0</v>
      </c>
      <c r="G149" s="345">
        <v>0</v>
      </c>
      <c r="H149" s="345">
        <v>0</v>
      </c>
      <c r="I149" s="345">
        <v>0</v>
      </c>
      <c r="J149" s="345">
        <v>0</v>
      </c>
      <c r="K149" s="345">
        <v>0</v>
      </c>
    </row>
    <row r="150" spans="1:11" ht="18" customHeight="1" x14ac:dyDescent="0.4">
      <c r="A150" s="1" t="s">
        <v>185</v>
      </c>
      <c r="B150" s="95" t="s">
        <v>186</v>
      </c>
      <c r="F150" s="492" t="s">
        <v>73</v>
      </c>
      <c r="G150" s="492" t="s">
        <v>73</v>
      </c>
      <c r="H150" s="307">
        <v>3364107.87</v>
      </c>
      <c r="I150" s="229">
        <v>0</v>
      </c>
      <c r="J150" s="307">
        <v>2788072.2</v>
      </c>
      <c r="K150" s="308">
        <f>H150-J150</f>
        <v>576035.66999999993</v>
      </c>
    </row>
    <row r="151" spans="1:11" ht="18" customHeight="1" x14ac:dyDescent="0.4">
      <c r="B151" s="95"/>
      <c r="F151" s="113"/>
      <c r="G151" s="113"/>
      <c r="H151" s="113"/>
      <c r="I151" s="113"/>
      <c r="J151" s="113"/>
      <c r="K151" s="113"/>
    </row>
    <row r="152" spans="1:11" ht="18" customHeight="1" x14ac:dyDescent="0.4">
      <c r="A152" s="98" t="s">
        <v>165</v>
      </c>
      <c r="B152" s="95" t="s">
        <v>26</v>
      </c>
      <c r="F152" s="114">
        <v>5830.8</v>
      </c>
      <c r="G152" s="114">
        <v>33020</v>
      </c>
      <c r="H152" s="114">
        <f>SUM(H141:H150)</f>
        <v>15666903.870000001</v>
      </c>
      <c r="I152" s="114">
        <f t="shared" ref="I152:K152" si="0">SUM(I141:I150)</f>
        <v>326252</v>
      </c>
      <c r="J152" s="114">
        <f t="shared" si="0"/>
        <v>10459745.199999999</v>
      </c>
      <c r="K152" s="114">
        <f t="shared" si="0"/>
        <v>8727048.6699999999</v>
      </c>
    </row>
    <row r="154" spans="1:11" ht="18" customHeight="1" x14ac:dyDescent="0.4">
      <c r="A154" s="98" t="s">
        <v>168</v>
      </c>
      <c r="B154" s="95" t="s">
        <v>28</v>
      </c>
      <c r="F154" s="318">
        <v>5.0997466520579904E-2</v>
      </c>
    </row>
    <row r="155" spans="1:11" ht="18" customHeight="1" x14ac:dyDescent="0.4">
      <c r="A155" s="98" t="s">
        <v>169</v>
      </c>
      <c r="B155" s="95" t="s">
        <v>72</v>
      </c>
      <c r="F155" s="318">
        <v>2.2509885576654343</v>
      </c>
      <c r="G155" s="95"/>
    </row>
    <row r="156" spans="1:11" ht="18" customHeight="1" x14ac:dyDescent="0.4">
      <c r="G156" s="95"/>
      <c r="H156" s="189"/>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pageMargins left="0.7" right="0.7" top="0.75" bottom="0.75" header="0.3" footer="0.3"/>
  <pageSetup paperSize="5"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dimension ref="A1:V156"/>
  <sheetViews>
    <sheetView showGridLines="0" topLeftCell="A136" zoomScale="80" zoomScaleNormal="80" zoomScaleSheetLayoutView="8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 min="13" max="13" width="26.109375" customWidth="1"/>
    <col min="14" max="14" width="16.44140625" customWidth="1"/>
    <col min="15" max="15" width="11.27734375" customWidth="1"/>
    <col min="16" max="16" width="10.27734375" customWidth="1"/>
    <col min="17" max="17" width="20.38671875" customWidth="1"/>
    <col min="18" max="18" width="16.38671875" customWidth="1"/>
    <col min="19" max="19" width="16.83203125" customWidth="1"/>
    <col min="20" max="20" width="13" customWidth="1"/>
    <col min="21" max="21" width="17.27734375" customWidth="1"/>
    <col min="22" max="22" width="18.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396</v>
      </c>
      <c r="D5" s="666"/>
      <c r="E5" s="666"/>
      <c r="F5" s="666"/>
      <c r="G5" s="667"/>
    </row>
    <row r="6" spans="1:11" ht="18" customHeight="1" x14ac:dyDescent="0.4">
      <c r="B6" s="1" t="s">
        <v>3</v>
      </c>
      <c r="C6" s="668">
        <v>210019</v>
      </c>
      <c r="D6" s="669"/>
      <c r="E6" s="669"/>
      <c r="F6" s="669"/>
      <c r="G6" s="670"/>
    </row>
    <row r="7" spans="1:11" ht="18" customHeight="1" x14ac:dyDescent="0.4">
      <c r="B7" s="1" t="s">
        <v>4</v>
      </c>
      <c r="C7" s="689">
        <v>2894.5</v>
      </c>
      <c r="D7" s="690"/>
      <c r="E7" s="690"/>
      <c r="F7" s="690"/>
      <c r="G7" s="691"/>
    </row>
    <row r="9" spans="1:11" ht="18" customHeight="1" x14ac:dyDescent="0.4">
      <c r="B9" s="1" t="s">
        <v>1</v>
      </c>
      <c r="C9" s="663" t="s">
        <v>703</v>
      </c>
      <c r="D9" s="666"/>
      <c r="E9" s="666"/>
      <c r="F9" s="666"/>
      <c r="G9" s="667"/>
    </row>
    <row r="10" spans="1:11" ht="18" customHeight="1" x14ac:dyDescent="0.4">
      <c r="B10" s="1" t="s">
        <v>2</v>
      </c>
      <c r="C10" s="660" t="s">
        <v>704</v>
      </c>
      <c r="D10" s="661"/>
      <c r="E10" s="661"/>
      <c r="F10" s="661"/>
      <c r="G10" s="662"/>
    </row>
    <row r="11" spans="1:11" ht="18" customHeight="1" x14ac:dyDescent="0.4">
      <c r="B11" s="1" t="s">
        <v>32</v>
      </c>
      <c r="C11" s="692" t="s">
        <v>705</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9007713.7100000009</v>
      </c>
      <c r="I18" s="115">
        <v>0</v>
      </c>
      <c r="J18" s="307">
        <v>7465324.2800000003</v>
      </c>
      <c r="K18" s="308">
        <f>(H18+I18)-J18</f>
        <v>1542389.4300000006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1157</v>
      </c>
      <c r="G21" s="306">
        <v>5938</v>
      </c>
      <c r="H21" s="307">
        <v>69409</v>
      </c>
      <c r="I21" s="115">
        <v>44561</v>
      </c>
      <c r="J21" s="307">
        <v>1900</v>
      </c>
      <c r="K21" s="308">
        <f t="shared" ref="K21:K34" si="0">(H21+I21)-J21</f>
        <v>112070</v>
      </c>
    </row>
    <row r="22" spans="1:11" ht="18" customHeight="1" x14ac:dyDescent="0.4">
      <c r="A22" s="1" t="s">
        <v>76</v>
      </c>
      <c r="B22" t="s">
        <v>6</v>
      </c>
      <c r="F22" s="306">
        <v>179</v>
      </c>
      <c r="G22" s="306">
        <v>388</v>
      </c>
      <c r="H22" s="307">
        <v>9172</v>
      </c>
      <c r="I22" s="115">
        <v>5888</v>
      </c>
      <c r="J22" s="307"/>
      <c r="K22" s="308">
        <f t="shared" si="0"/>
        <v>15060</v>
      </c>
    </row>
    <row r="23" spans="1:11" ht="18" customHeight="1" x14ac:dyDescent="0.4">
      <c r="A23" s="1" t="s">
        <v>77</v>
      </c>
      <c r="B23" t="s">
        <v>43</v>
      </c>
      <c r="F23" s="306">
        <v>6872</v>
      </c>
      <c r="G23" s="306">
        <v>20245</v>
      </c>
      <c r="H23" s="307">
        <v>292537</v>
      </c>
      <c r="I23" s="115">
        <v>187809</v>
      </c>
      <c r="J23" s="307">
        <v>127274</v>
      </c>
      <c r="K23" s="308">
        <f t="shared" si="0"/>
        <v>353072</v>
      </c>
    </row>
    <row r="24" spans="1:11" ht="18" customHeight="1" x14ac:dyDescent="0.4">
      <c r="A24" s="1" t="s">
        <v>78</v>
      </c>
      <c r="B24" t="s">
        <v>44</v>
      </c>
      <c r="F24" s="306"/>
      <c r="G24" s="306"/>
      <c r="H24" s="307"/>
      <c r="I24" s="115">
        <f>H24*F$114</f>
        <v>0</v>
      </c>
      <c r="J24" s="307"/>
      <c r="K24" s="308">
        <f t="shared" si="0"/>
        <v>0</v>
      </c>
    </row>
    <row r="25" spans="1:11" ht="18" customHeight="1" x14ac:dyDescent="0.4">
      <c r="A25" s="1" t="s">
        <v>79</v>
      </c>
      <c r="B25" t="s">
        <v>5</v>
      </c>
      <c r="F25" s="306">
        <v>186</v>
      </c>
      <c r="G25" s="306">
        <v>658</v>
      </c>
      <c r="H25" s="307">
        <v>7588</v>
      </c>
      <c r="I25" s="115">
        <v>4871</v>
      </c>
      <c r="J25" s="307"/>
      <c r="K25" s="308">
        <f t="shared" si="0"/>
        <v>12459</v>
      </c>
    </row>
    <row r="26" spans="1:11" ht="18" customHeight="1" x14ac:dyDescent="0.4">
      <c r="A26" s="1" t="s">
        <v>80</v>
      </c>
      <c r="B26" t="s">
        <v>45</v>
      </c>
      <c r="F26" s="306">
        <v>804</v>
      </c>
      <c r="G26" s="306">
        <v>3142</v>
      </c>
      <c r="H26" s="307">
        <v>84917</v>
      </c>
      <c r="I26" s="115">
        <v>54517</v>
      </c>
      <c r="J26" s="307"/>
      <c r="K26" s="308">
        <f t="shared" si="0"/>
        <v>139434</v>
      </c>
    </row>
    <row r="27" spans="1:11" ht="18" customHeight="1" x14ac:dyDescent="0.4">
      <c r="A27" s="1" t="s">
        <v>81</v>
      </c>
      <c r="B27" t="s">
        <v>455</v>
      </c>
      <c r="F27" s="306"/>
      <c r="G27" s="306"/>
      <c r="H27" s="307"/>
      <c r="I27" s="115">
        <f>H27*F$114</f>
        <v>0</v>
      </c>
      <c r="J27" s="307"/>
      <c r="K27" s="308">
        <f t="shared" si="0"/>
        <v>0</v>
      </c>
    </row>
    <row r="28" spans="1:11" ht="18" customHeight="1" x14ac:dyDescent="0.4">
      <c r="A28" s="1" t="s">
        <v>82</v>
      </c>
      <c r="B28" t="s">
        <v>47</v>
      </c>
      <c r="F28" s="306">
        <v>1872</v>
      </c>
      <c r="G28" s="306">
        <v>123</v>
      </c>
      <c r="H28" s="307">
        <v>30615</v>
      </c>
      <c r="I28" s="115">
        <v>19655</v>
      </c>
      <c r="J28" s="307"/>
      <c r="K28" s="308">
        <f t="shared" si="0"/>
        <v>50270</v>
      </c>
    </row>
    <row r="29" spans="1:11" ht="18" customHeight="1" x14ac:dyDescent="0.4">
      <c r="A29" s="1" t="s">
        <v>83</v>
      </c>
      <c r="B29" t="s">
        <v>48</v>
      </c>
      <c r="F29" s="306">
        <v>2338</v>
      </c>
      <c r="G29" s="306">
        <v>4204</v>
      </c>
      <c r="H29" s="307">
        <v>525431</v>
      </c>
      <c r="I29" s="115">
        <v>337327</v>
      </c>
      <c r="J29" s="307"/>
      <c r="K29" s="308">
        <f t="shared" si="0"/>
        <v>862758</v>
      </c>
    </row>
    <row r="30" spans="1:11" ht="18" customHeight="1" x14ac:dyDescent="0.4">
      <c r="A30" s="1" t="s">
        <v>84</v>
      </c>
      <c r="B30" s="630"/>
      <c r="C30" s="631"/>
      <c r="D30" s="632"/>
      <c r="F30" s="306"/>
      <c r="G30" s="306"/>
      <c r="H30" s="307"/>
      <c r="I30" s="115">
        <f>H30*F$114</f>
        <v>0</v>
      </c>
      <c r="J30" s="307"/>
      <c r="K30" s="308">
        <f t="shared" si="0"/>
        <v>0</v>
      </c>
    </row>
    <row r="31" spans="1:11" ht="18" customHeight="1" x14ac:dyDescent="0.4">
      <c r="A31" s="1" t="s">
        <v>133</v>
      </c>
      <c r="B31" s="630"/>
      <c r="C31" s="631"/>
      <c r="D31" s="632"/>
      <c r="F31" s="306"/>
      <c r="G31" s="306"/>
      <c r="H31" s="307"/>
      <c r="I31" s="115">
        <f>H31*F$114</f>
        <v>0</v>
      </c>
      <c r="J31" s="307"/>
      <c r="K31" s="308">
        <f t="shared" si="0"/>
        <v>0</v>
      </c>
    </row>
    <row r="32" spans="1:11" ht="18" customHeight="1" x14ac:dyDescent="0.4">
      <c r="A32" s="1" t="s">
        <v>134</v>
      </c>
      <c r="B32" s="394"/>
      <c r="C32" s="395"/>
      <c r="D32" s="396"/>
      <c r="F32" s="306"/>
      <c r="G32" s="309" t="s">
        <v>85</v>
      </c>
      <c r="H32" s="307"/>
      <c r="I32" s="115">
        <f>H32*F$114</f>
        <v>0</v>
      </c>
      <c r="J32" s="307"/>
      <c r="K32" s="308">
        <f t="shared" si="0"/>
        <v>0</v>
      </c>
    </row>
    <row r="33" spans="1:11" ht="18" customHeight="1" x14ac:dyDescent="0.4">
      <c r="A33" s="1" t="s">
        <v>135</v>
      </c>
      <c r="B33" s="394"/>
      <c r="C33" s="395"/>
      <c r="D33" s="396"/>
      <c r="F33" s="306"/>
      <c r="G33" s="309" t="s">
        <v>85</v>
      </c>
      <c r="H33" s="307"/>
      <c r="I33" s="115">
        <f>H33*F$114</f>
        <v>0</v>
      </c>
      <c r="J33" s="307"/>
      <c r="K33" s="308">
        <f t="shared" si="0"/>
        <v>0</v>
      </c>
    </row>
    <row r="34" spans="1:11" ht="18" customHeight="1" x14ac:dyDescent="0.4">
      <c r="A34" s="1" t="s">
        <v>136</v>
      </c>
      <c r="B34" s="630"/>
      <c r="C34" s="631"/>
      <c r="D34" s="632"/>
      <c r="F34" s="306"/>
      <c r="G34" s="309" t="s">
        <v>85</v>
      </c>
      <c r="H34" s="307"/>
      <c r="I34" s="115">
        <f>H34*F$114</f>
        <v>0</v>
      </c>
      <c r="J34" s="307"/>
      <c r="K34" s="308">
        <f t="shared" si="0"/>
        <v>0</v>
      </c>
    </row>
    <row r="35" spans="1:11" ht="18" customHeight="1" x14ac:dyDescent="0.4">
      <c r="K35" s="397"/>
    </row>
    <row r="36" spans="1:11" ht="18" customHeight="1" x14ac:dyDescent="0.4">
      <c r="A36" s="98" t="s">
        <v>137</v>
      </c>
      <c r="B36" s="95" t="s">
        <v>138</v>
      </c>
      <c r="E36" s="95" t="s">
        <v>7</v>
      </c>
      <c r="F36" s="310">
        <f t="shared" ref="F36:K36" si="1">SUM(F21:F34)</f>
        <v>13408</v>
      </c>
      <c r="G36" s="310">
        <f t="shared" si="1"/>
        <v>34698</v>
      </c>
      <c r="H36" s="310">
        <f t="shared" si="1"/>
        <v>1019669</v>
      </c>
      <c r="I36" s="308">
        <f t="shared" si="1"/>
        <v>654628</v>
      </c>
      <c r="J36" s="308">
        <f t="shared" si="1"/>
        <v>129174</v>
      </c>
      <c r="K36" s="308">
        <f t="shared" si="1"/>
        <v>1545123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2">(H40+I40)-J40</f>
        <v>0</v>
      </c>
    </row>
    <row r="41" spans="1:11" ht="18" customHeight="1" x14ac:dyDescent="0.4">
      <c r="A41" s="1" t="s">
        <v>88</v>
      </c>
      <c r="B41" s="635" t="s">
        <v>50</v>
      </c>
      <c r="C41" s="636"/>
      <c r="F41" s="306">
        <v>3872</v>
      </c>
      <c r="G41" s="306">
        <v>241</v>
      </c>
      <c r="H41" s="307">
        <v>187176</v>
      </c>
      <c r="I41" s="115">
        <v>120167</v>
      </c>
      <c r="J41" s="307"/>
      <c r="K41" s="308">
        <f t="shared" si="2"/>
        <v>307343</v>
      </c>
    </row>
    <row r="42" spans="1:11" ht="18" customHeight="1" x14ac:dyDescent="0.4">
      <c r="A42" s="1" t="s">
        <v>89</v>
      </c>
      <c r="B42" s="94" t="s">
        <v>11</v>
      </c>
      <c r="F42" s="306">
        <v>6808</v>
      </c>
      <c r="G42" s="306">
        <v>49</v>
      </c>
      <c r="H42" s="307">
        <v>729664</v>
      </c>
      <c r="I42" s="115">
        <v>468444</v>
      </c>
      <c r="J42" s="307"/>
      <c r="K42" s="308">
        <f t="shared" si="2"/>
        <v>1198108</v>
      </c>
    </row>
    <row r="43" spans="1:11" ht="18" customHeight="1" x14ac:dyDescent="0.4">
      <c r="A43" s="1" t="s">
        <v>90</v>
      </c>
      <c r="B43" s="94" t="s">
        <v>10</v>
      </c>
      <c r="F43" s="306">
        <v>615</v>
      </c>
      <c r="G43" s="306"/>
      <c r="H43" s="307">
        <v>89755</v>
      </c>
      <c r="I43" s="115">
        <v>57623</v>
      </c>
      <c r="J43" s="307">
        <v>42225</v>
      </c>
      <c r="K43" s="308">
        <f t="shared" si="2"/>
        <v>105153</v>
      </c>
    </row>
    <row r="44" spans="1:11" ht="18" customHeight="1" x14ac:dyDescent="0.4">
      <c r="A44" s="1" t="s">
        <v>91</v>
      </c>
      <c r="B44" s="630"/>
      <c r="C44" s="631"/>
      <c r="D44" s="632"/>
      <c r="F44" s="311"/>
      <c r="G44" s="311"/>
      <c r="H44" s="311"/>
      <c r="I44" s="116">
        <v>0</v>
      </c>
      <c r="J44" s="311"/>
      <c r="K44" s="353">
        <f t="shared" si="2"/>
        <v>0</v>
      </c>
    </row>
    <row r="45" spans="1:11" ht="18" customHeight="1" x14ac:dyDescent="0.4">
      <c r="A45" s="1" t="s">
        <v>139</v>
      </c>
      <c r="B45" s="630"/>
      <c r="C45" s="631"/>
      <c r="D45" s="632"/>
      <c r="F45" s="306"/>
      <c r="G45" s="306"/>
      <c r="H45" s="307"/>
      <c r="I45" s="115">
        <v>0</v>
      </c>
      <c r="J45" s="307"/>
      <c r="K45" s="308">
        <f t="shared" si="2"/>
        <v>0</v>
      </c>
    </row>
    <row r="46" spans="1:11" ht="18" customHeight="1" x14ac:dyDescent="0.4">
      <c r="A46" s="1" t="s">
        <v>140</v>
      </c>
      <c r="B46" s="630"/>
      <c r="C46" s="631"/>
      <c r="D46" s="632"/>
      <c r="F46" s="306"/>
      <c r="G46" s="306"/>
      <c r="H46" s="307"/>
      <c r="I46" s="115">
        <v>0</v>
      </c>
      <c r="J46" s="307"/>
      <c r="K46" s="308">
        <f t="shared" si="2"/>
        <v>0</v>
      </c>
    </row>
    <row r="47" spans="1:11" ht="18" customHeight="1" x14ac:dyDescent="0.4">
      <c r="A47" s="1" t="s">
        <v>141</v>
      </c>
      <c r="B47" s="630"/>
      <c r="C47" s="631"/>
      <c r="D47" s="632"/>
      <c r="F47" s="306"/>
      <c r="G47" s="306"/>
      <c r="H47" s="307"/>
      <c r="I47" s="115">
        <v>0</v>
      </c>
      <c r="J47" s="307"/>
      <c r="K47" s="308">
        <f t="shared" si="2"/>
        <v>0</v>
      </c>
    </row>
    <row r="49" spans="1:22" ht="18" customHeight="1" x14ac:dyDescent="0.4">
      <c r="A49" s="98" t="s">
        <v>142</v>
      </c>
      <c r="B49" s="95" t="s">
        <v>143</v>
      </c>
      <c r="E49" s="95" t="s">
        <v>7</v>
      </c>
      <c r="F49" s="312">
        <f t="shared" ref="F49:K49" si="3">SUM(F40:F47)</f>
        <v>11295</v>
      </c>
      <c r="G49" s="312">
        <f t="shared" si="3"/>
        <v>290</v>
      </c>
      <c r="H49" s="308">
        <f t="shared" si="3"/>
        <v>1006595</v>
      </c>
      <c r="I49" s="308">
        <f t="shared" si="3"/>
        <v>646234</v>
      </c>
      <c r="J49" s="308">
        <f t="shared" si="3"/>
        <v>42225</v>
      </c>
      <c r="K49" s="308">
        <f t="shared" si="3"/>
        <v>1610604</v>
      </c>
    </row>
    <row r="50" spans="1:22" ht="18" customHeight="1" thickBot="1" x14ac:dyDescent="0.45">
      <c r="G50" s="103"/>
      <c r="H50" s="103"/>
      <c r="I50" s="103"/>
      <c r="J50" s="103"/>
      <c r="K50" s="103"/>
    </row>
    <row r="51" spans="1:22" ht="42.75" customHeight="1" x14ac:dyDescent="0.4">
      <c r="F51" s="99" t="s">
        <v>9</v>
      </c>
      <c r="G51" s="99" t="s">
        <v>37</v>
      </c>
      <c r="H51" s="99" t="s">
        <v>29</v>
      </c>
      <c r="I51" s="99" t="s">
        <v>30</v>
      </c>
      <c r="J51" s="99" t="s">
        <v>33</v>
      </c>
      <c r="K51" s="99" t="s">
        <v>34</v>
      </c>
      <c r="Q51" s="99" t="s">
        <v>9</v>
      </c>
      <c r="R51" s="99" t="s">
        <v>37</v>
      </c>
      <c r="S51" s="99" t="s">
        <v>29</v>
      </c>
      <c r="T51" s="99" t="s">
        <v>30</v>
      </c>
      <c r="U51" s="99" t="s">
        <v>33</v>
      </c>
      <c r="V51" s="99" t="s">
        <v>34</v>
      </c>
    </row>
    <row r="52" spans="1:22" ht="18" customHeight="1" x14ac:dyDescent="0.4">
      <c r="A52" s="98" t="s">
        <v>92</v>
      </c>
      <c r="B52" s="656" t="s">
        <v>38</v>
      </c>
      <c r="C52" s="657"/>
      <c r="M52" s="656" t="s">
        <v>706</v>
      </c>
      <c r="N52" s="657"/>
    </row>
    <row r="53" spans="1:22" ht="18" customHeight="1" x14ac:dyDescent="0.4">
      <c r="A53" s="1" t="s">
        <v>51</v>
      </c>
      <c r="B53" s="658" t="s">
        <v>707</v>
      </c>
      <c r="C53" s="659"/>
      <c r="D53" s="654"/>
      <c r="F53" s="306">
        <v>4348</v>
      </c>
      <c r="G53" s="306">
        <v>791</v>
      </c>
      <c r="H53" s="307">
        <v>277049</v>
      </c>
      <c r="I53" s="115">
        <v>73554</v>
      </c>
      <c r="J53" s="307">
        <v>119611</v>
      </c>
      <c r="K53" s="308">
        <f t="shared" ref="K53:K62" si="4">(H53+I53)-J53</f>
        <v>230992</v>
      </c>
      <c r="M53" s="400" t="s">
        <v>708</v>
      </c>
      <c r="N53" s="401"/>
      <c r="O53" s="402"/>
      <c r="Q53" s="306">
        <v>25261</v>
      </c>
      <c r="R53" s="306">
        <v>4678</v>
      </c>
      <c r="S53" s="307">
        <v>323755</v>
      </c>
      <c r="T53" s="115">
        <v>0</v>
      </c>
      <c r="U53" s="307"/>
      <c r="V53" s="308">
        <f t="shared" ref="V53:V65" si="5">(S53+T53)-U53</f>
        <v>323755</v>
      </c>
    </row>
    <row r="54" spans="1:22" ht="18" customHeight="1" x14ac:dyDescent="0.4">
      <c r="A54" s="1" t="s">
        <v>437</v>
      </c>
      <c r="B54" s="406" t="s">
        <v>709</v>
      </c>
      <c r="C54" s="407"/>
      <c r="D54" s="402"/>
      <c r="F54" s="306">
        <v>32181</v>
      </c>
      <c r="G54" s="306">
        <v>8032</v>
      </c>
      <c r="H54" s="307">
        <v>1881251</v>
      </c>
      <c r="I54" s="115">
        <v>1207763</v>
      </c>
      <c r="J54" s="307">
        <v>1196119</v>
      </c>
      <c r="K54" s="308">
        <f t="shared" si="4"/>
        <v>1892895</v>
      </c>
      <c r="M54" s="400" t="s">
        <v>539</v>
      </c>
      <c r="N54" s="401"/>
      <c r="O54" s="402"/>
      <c r="Q54" s="306">
        <v>29662</v>
      </c>
      <c r="R54" s="306">
        <v>8417</v>
      </c>
      <c r="S54" s="307">
        <v>1934165</v>
      </c>
      <c r="T54" s="115">
        <v>380334</v>
      </c>
      <c r="U54" s="307">
        <v>1160975</v>
      </c>
      <c r="V54" s="308">
        <f t="shared" si="5"/>
        <v>1153524</v>
      </c>
    </row>
    <row r="55" spans="1:22" ht="18" customHeight="1" x14ac:dyDescent="0.4">
      <c r="A55" s="1" t="s">
        <v>710</v>
      </c>
      <c r="B55" s="406" t="s">
        <v>711</v>
      </c>
      <c r="C55" s="407"/>
      <c r="D55" s="402"/>
      <c r="F55" s="306">
        <v>15221</v>
      </c>
      <c r="G55" s="306">
        <v>1097</v>
      </c>
      <c r="H55" s="307">
        <v>318238</v>
      </c>
      <c r="I55" s="115">
        <v>204309</v>
      </c>
      <c r="J55" s="307"/>
      <c r="K55" s="308">
        <f t="shared" si="4"/>
        <v>522547</v>
      </c>
      <c r="M55" s="400" t="s">
        <v>712</v>
      </c>
      <c r="N55" s="401"/>
      <c r="O55" s="402"/>
      <c r="Q55" s="306">
        <v>9692</v>
      </c>
      <c r="R55" s="306">
        <v>3412</v>
      </c>
      <c r="S55" s="307">
        <v>690375</v>
      </c>
      <c r="T55" s="115">
        <v>194019</v>
      </c>
      <c r="U55" s="307">
        <v>405650</v>
      </c>
      <c r="V55" s="308">
        <f t="shared" si="5"/>
        <v>478744</v>
      </c>
    </row>
    <row r="56" spans="1:22" ht="18" customHeight="1" x14ac:dyDescent="0.4">
      <c r="A56" s="1" t="s">
        <v>93</v>
      </c>
      <c r="B56" s="400" t="s">
        <v>713</v>
      </c>
      <c r="C56" s="401"/>
      <c r="D56" s="402"/>
      <c r="F56" s="306">
        <v>780</v>
      </c>
      <c r="G56" s="306">
        <v>5535</v>
      </c>
      <c r="H56" s="307">
        <v>25004</v>
      </c>
      <c r="I56" s="115">
        <v>0</v>
      </c>
      <c r="J56" s="307"/>
      <c r="K56" s="308">
        <f t="shared" si="4"/>
        <v>25004</v>
      </c>
      <c r="M56" s="400" t="s">
        <v>714</v>
      </c>
      <c r="N56" s="401"/>
      <c r="O56" s="402"/>
      <c r="Q56" s="306">
        <v>6043</v>
      </c>
      <c r="R56" s="306">
        <v>775</v>
      </c>
      <c r="S56" s="307">
        <v>200913</v>
      </c>
      <c r="T56" s="115">
        <v>57417</v>
      </c>
      <c r="U56" s="307">
        <v>71564</v>
      </c>
      <c r="V56" s="308">
        <f t="shared" si="5"/>
        <v>186766</v>
      </c>
    </row>
    <row r="57" spans="1:22" ht="18" customHeight="1" x14ac:dyDescent="0.4">
      <c r="A57" s="1" t="s">
        <v>94</v>
      </c>
      <c r="B57" s="655" t="s">
        <v>314</v>
      </c>
      <c r="C57" s="653"/>
      <c r="D57" s="654"/>
      <c r="F57" s="306"/>
      <c r="G57" s="306"/>
      <c r="H57" s="307">
        <v>5564886</v>
      </c>
      <c r="I57" s="115">
        <v>0</v>
      </c>
      <c r="J57" s="307">
        <v>1356109</v>
      </c>
      <c r="K57" s="308">
        <f t="shared" si="4"/>
        <v>4208777</v>
      </c>
      <c r="M57" s="400" t="s">
        <v>399</v>
      </c>
      <c r="N57" s="401"/>
      <c r="O57" s="402"/>
      <c r="Q57" s="306">
        <v>7595</v>
      </c>
      <c r="R57" s="306">
        <v>4400</v>
      </c>
      <c r="S57" s="307">
        <v>2631411</v>
      </c>
      <c r="T57" s="115">
        <v>451557</v>
      </c>
      <c r="U57" s="307">
        <v>365513</v>
      </c>
      <c r="V57" s="308">
        <f t="shared" si="5"/>
        <v>2717455</v>
      </c>
    </row>
    <row r="58" spans="1:22" ht="18" customHeight="1" x14ac:dyDescent="0.4">
      <c r="A58" s="1" t="s">
        <v>95</v>
      </c>
      <c r="B58" s="655" t="s">
        <v>715</v>
      </c>
      <c r="C58" s="653"/>
      <c r="D58" s="654"/>
      <c r="F58" s="306">
        <v>74933</v>
      </c>
      <c r="G58" s="306">
        <v>56932</v>
      </c>
      <c r="H58" s="307">
        <v>9753424</v>
      </c>
      <c r="I58" s="115">
        <v>2194981</v>
      </c>
      <c r="J58" s="307">
        <v>5940698</v>
      </c>
      <c r="K58" s="308">
        <f t="shared" si="4"/>
        <v>6007707</v>
      </c>
      <c r="M58" s="400" t="s">
        <v>468</v>
      </c>
      <c r="N58" s="401"/>
      <c r="O58" s="402"/>
      <c r="Q58" s="306">
        <v>48252</v>
      </c>
      <c r="R58" s="306">
        <v>15776</v>
      </c>
      <c r="S58" s="307">
        <v>6041322</v>
      </c>
      <c r="T58" s="115">
        <v>1312935</v>
      </c>
      <c r="U58" s="307">
        <v>3605586</v>
      </c>
      <c r="V58" s="308">
        <f t="shared" si="5"/>
        <v>3748671</v>
      </c>
    </row>
    <row r="59" spans="1:22" ht="18" customHeight="1" x14ac:dyDescent="0.4">
      <c r="A59" s="1" t="s">
        <v>96</v>
      </c>
      <c r="B59" s="655" t="s">
        <v>716</v>
      </c>
      <c r="C59" s="653"/>
      <c r="D59" s="654"/>
      <c r="F59" s="306">
        <v>1950</v>
      </c>
      <c r="G59" s="306"/>
      <c r="H59" s="307">
        <v>232307</v>
      </c>
      <c r="I59" s="115">
        <v>0</v>
      </c>
      <c r="J59" s="307"/>
      <c r="K59" s="308">
        <f t="shared" si="4"/>
        <v>232307</v>
      </c>
      <c r="M59" s="400" t="s">
        <v>469</v>
      </c>
      <c r="N59" s="401"/>
      <c r="O59" s="402"/>
      <c r="Q59" s="306">
        <v>29476</v>
      </c>
      <c r="R59" s="306">
        <v>6088</v>
      </c>
      <c r="S59" s="307">
        <v>4609116</v>
      </c>
      <c r="T59" s="115">
        <v>1112513</v>
      </c>
      <c r="U59" s="307">
        <v>1837182</v>
      </c>
      <c r="V59" s="308">
        <f t="shared" si="5"/>
        <v>3884447</v>
      </c>
    </row>
    <row r="60" spans="1:22" ht="18" customHeight="1" x14ac:dyDescent="0.4">
      <c r="A60" s="1" t="s">
        <v>97</v>
      </c>
      <c r="B60" s="400" t="s">
        <v>537</v>
      </c>
      <c r="C60" s="401"/>
      <c r="D60" s="402"/>
      <c r="F60" s="306">
        <v>69604</v>
      </c>
      <c r="G60" s="306">
        <v>23286</v>
      </c>
      <c r="H60" s="307">
        <v>28045599</v>
      </c>
      <c r="I60" s="115">
        <v>5328579</v>
      </c>
      <c r="J60" s="307">
        <v>25168268</v>
      </c>
      <c r="K60" s="308">
        <f t="shared" si="4"/>
        <v>8205910</v>
      </c>
      <c r="M60" s="400" t="s">
        <v>717</v>
      </c>
      <c r="N60" s="401"/>
      <c r="O60" s="402"/>
      <c r="Q60" s="306">
        <v>2683</v>
      </c>
      <c r="R60" s="306">
        <v>1380</v>
      </c>
      <c r="S60" s="307">
        <v>354306</v>
      </c>
      <c r="T60" s="115">
        <v>112529</v>
      </c>
      <c r="U60" s="307">
        <v>264761</v>
      </c>
      <c r="V60" s="308">
        <f t="shared" si="5"/>
        <v>202074</v>
      </c>
    </row>
    <row r="61" spans="1:22" ht="18" customHeight="1" x14ac:dyDescent="0.4">
      <c r="A61" s="1" t="s">
        <v>98</v>
      </c>
      <c r="B61" s="655" t="s">
        <v>341</v>
      </c>
      <c r="C61" s="653"/>
      <c r="D61" s="654"/>
      <c r="F61" s="306">
        <v>126</v>
      </c>
      <c r="G61" s="306"/>
      <c r="H61" s="307">
        <v>2729</v>
      </c>
      <c r="I61" s="115">
        <v>95000</v>
      </c>
      <c r="J61" s="307">
        <v>56744</v>
      </c>
      <c r="K61" s="308">
        <f t="shared" si="4"/>
        <v>40985</v>
      </c>
      <c r="M61" s="400" t="s">
        <v>718</v>
      </c>
      <c r="N61" s="401"/>
      <c r="O61" s="402"/>
      <c r="Q61" s="306">
        <v>32565</v>
      </c>
      <c r="R61" s="306">
        <v>63607</v>
      </c>
      <c r="S61" s="307">
        <v>7496922</v>
      </c>
      <c r="T61" s="115">
        <v>1520651</v>
      </c>
      <c r="U61" s="307">
        <v>6017238</v>
      </c>
      <c r="V61" s="308">
        <f t="shared" si="5"/>
        <v>3000335</v>
      </c>
    </row>
    <row r="62" spans="1:22" ht="18" customHeight="1" x14ac:dyDescent="0.4">
      <c r="A62" s="1" t="s">
        <v>466</v>
      </c>
      <c r="B62" s="400" t="s">
        <v>467</v>
      </c>
      <c r="C62" s="401"/>
      <c r="D62" s="402"/>
      <c r="F62" s="306">
        <v>27749</v>
      </c>
      <c r="G62" s="306">
        <v>2518</v>
      </c>
      <c r="H62" s="307">
        <v>5608677</v>
      </c>
      <c r="I62" s="115">
        <v>1224398</v>
      </c>
      <c r="J62" s="307">
        <v>1572339</v>
      </c>
      <c r="K62" s="308">
        <f t="shared" si="4"/>
        <v>5260736</v>
      </c>
      <c r="M62" s="400" t="s">
        <v>719</v>
      </c>
      <c r="N62" s="401"/>
      <c r="O62" s="402"/>
      <c r="Q62" s="306">
        <v>51026</v>
      </c>
      <c r="R62" s="306">
        <v>28316</v>
      </c>
      <c r="S62" s="307">
        <v>4889412</v>
      </c>
      <c r="T62" s="115">
        <v>22219</v>
      </c>
      <c r="U62" s="307">
        <v>2910790</v>
      </c>
      <c r="V62" s="308">
        <f t="shared" si="5"/>
        <v>2000841</v>
      </c>
    </row>
    <row r="63" spans="1:22" ht="18" customHeight="1" x14ac:dyDescent="0.4">
      <c r="A63" s="1"/>
      <c r="M63" s="400" t="s">
        <v>720</v>
      </c>
      <c r="N63" s="401"/>
      <c r="O63" s="402"/>
      <c r="Q63" s="306">
        <v>25643</v>
      </c>
      <c r="R63" s="306">
        <v>12913</v>
      </c>
      <c r="S63" s="307">
        <v>2876542</v>
      </c>
      <c r="T63" s="115">
        <v>770451</v>
      </c>
      <c r="U63" s="307">
        <v>1705964</v>
      </c>
      <c r="V63" s="308">
        <f t="shared" si="5"/>
        <v>1941029</v>
      </c>
    </row>
    <row r="64" spans="1:22" ht="18" customHeight="1" x14ac:dyDescent="0.4">
      <c r="A64" s="1" t="s">
        <v>144</v>
      </c>
      <c r="B64" s="95" t="s">
        <v>145</v>
      </c>
      <c r="E64" s="95" t="s">
        <v>7</v>
      </c>
      <c r="F64" s="310">
        <f t="shared" ref="F64:K64" si="6">SUM(F53:F62)+SUM(Q53:Q65)</f>
        <v>547835</v>
      </c>
      <c r="G64" s="310">
        <f t="shared" si="6"/>
        <v>266491</v>
      </c>
      <c r="H64" s="308">
        <f t="shared" si="6"/>
        <v>87446026</v>
      </c>
      <c r="I64" s="308">
        <f t="shared" si="6"/>
        <v>17211352</v>
      </c>
      <c r="J64" s="308">
        <f t="shared" si="6"/>
        <v>55896290</v>
      </c>
      <c r="K64" s="308">
        <f t="shared" si="6"/>
        <v>48761088</v>
      </c>
      <c r="M64" s="400" t="s">
        <v>721</v>
      </c>
      <c r="N64" s="401"/>
      <c r="O64" s="402"/>
      <c r="Q64" s="306">
        <v>21459</v>
      </c>
      <c r="R64" s="306">
        <v>5953</v>
      </c>
      <c r="S64" s="307">
        <v>1654094</v>
      </c>
      <c r="T64" s="115">
        <v>466298</v>
      </c>
      <c r="U64" s="307">
        <v>892787</v>
      </c>
      <c r="V64" s="308">
        <f t="shared" si="5"/>
        <v>1227605</v>
      </c>
    </row>
    <row r="65" spans="1:22" ht="18" customHeight="1" x14ac:dyDescent="0.4">
      <c r="A65" s="1"/>
      <c r="M65" s="406" t="s">
        <v>722</v>
      </c>
      <c r="N65" s="407"/>
      <c r="O65" s="408"/>
      <c r="Q65" s="306">
        <v>31586</v>
      </c>
      <c r="R65" s="306">
        <v>12585</v>
      </c>
      <c r="S65" s="307">
        <v>2034529</v>
      </c>
      <c r="T65" s="115">
        <v>481845</v>
      </c>
      <c r="U65" s="307">
        <v>1248392</v>
      </c>
      <c r="V65" s="308">
        <f t="shared" si="5"/>
        <v>1267982</v>
      </c>
    </row>
    <row r="66" spans="1:22" ht="42.75" customHeight="1" x14ac:dyDescent="0.4">
      <c r="F66" s="99" t="s">
        <v>9</v>
      </c>
      <c r="G66" s="99" t="s">
        <v>37</v>
      </c>
      <c r="H66" s="99" t="s">
        <v>29</v>
      </c>
      <c r="I66" s="99" t="s">
        <v>30</v>
      </c>
      <c r="J66" s="99" t="s">
        <v>33</v>
      </c>
      <c r="K66" s="99" t="s">
        <v>34</v>
      </c>
    </row>
    <row r="67" spans="1:22" ht="18" customHeight="1" x14ac:dyDescent="0.4">
      <c r="A67" s="98" t="s">
        <v>102</v>
      </c>
      <c r="B67" s="95" t="s">
        <v>12</v>
      </c>
      <c r="F67" s="404"/>
      <c r="G67" s="404"/>
      <c r="H67" s="404"/>
      <c r="I67" s="405"/>
      <c r="J67" s="404"/>
      <c r="K67" s="405"/>
    </row>
    <row r="68" spans="1:22" ht="18" customHeight="1" x14ac:dyDescent="0.4">
      <c r="A68" s="1" t="s">
        <v>103</v>
      </c>
      <c r="B68" t="s">
        <v>52</v>
      </c>
      <c r="F68" s="313">
        <v>26</v>
      </c>
      <c r="G68" s="313"/>
      <c r="H68" s="313">
        <v>4280</v>
      </c>
      <c r="I68" s="115">
        <v>2748</v>
      </c>
      <c r="J68" s="313"/>
      <c r="K68" s="308">
        <f>(H68+I68)-J68</f>
        <v>7028</v>
      </c>
    </row>
    <row r="69" spans="1:22" ht="18" customHeight="1" x14ac:dyDescent="0.4">
      <c r="A69" s="1" t="s">
        <v>104</v>
      </c>
      <c r="B69" s="94" t="s">
        <v>53</v>
      </c>
      <c r="F69" s="313"/>
      <c r="G69" s="313"/>
      <c r="H69" s="313"/>
      <c r="I69" s="115">
        <v>0</v>
      </c>
      <c r="J69" s="313"/>
      <c r="K69" s="308">
        <f>(H69+I69)-J69</f>
        <v>0</v>
      </c>
    </row>
    <row r="70" spans="1:22" ht="18" customHeight="1" x14ac:dyDescent="0.4">
      <c r="A70" s="1" t="s">
        <v>178</v>
      </c>
      <c r="B70" s="400"/>
      <c r="C70" s="401"/>
      <c r="D70" s="402"/>
      <c r="E70" s="95"/>
      <c r="F70" s="104"/>
      <c r="G70" s="104"/>
      <c r="H70" s="105"/>
      <c r="I70" s="115">
        <v>0</v>
      </c>
      <c r="J70" s="105"/>
      <c r="K70" s="308">
        <f>(H70+I70)-J70</f>
        <v>0</v>
      </c>
    </row>
    <row r="71" spans="1:22" ht="18" customHeight="1" x14ac:dyDescent="0.4">
      <c r="A71" s="1" t="s">
        <v>179</v>
      </c>
      <c r="B71" s="400"/>
      <c r="C71" s="401"/>
      <c r="D71" s="402"/>
      <c r="E71" s="95"/>
      <c r="F71" s="104"/>
      <c r="G71" s="104"/>
      <c r="H71" s="105"/>
      <c r="I71" s="115">
        <v>0</v>
      </c>
      <c r="J71" s="105"/>
      <c r="K71" s="308">
        <f>(H71+I71)-J71</f>
        <v>0</v>
      </c>
    </row>
    <row r="72" spans="1:22" ht="18" customHeight="1" x14ac:dyDescent="0.4">
      <c r="A72" s="1" t="s">
        <v>180</v>
      </c>
      <c r="B72" s="406"/>
      <c r="C72" s="407"/>
      <c r="D72" s="408"/>
      <c r="E72" s="95"/>
      <c r="F72" s="306"/>
      <c r="G72" s="306"/>
      <c r="H72" s="307"/>
      <c r="I72" s="115">
        <v>0</v>
      </c>
      <c r="J72" s="307"/>
      <c r="K72" s="308">
        <f>(H72+I72)-J72</f>
        <v>0</v>
      </c>
    </row>
    <row r="73" spans="1:22" ht="18" customHeight="1" x14ac:dyDescent="0.4">
      <c r="A73" s="1"/>
      <c r="B73" s="94"/>
      <c r="E73" s="95"/>
      <c r="F73" s="409"/>
      <c r="G73" s="409"/>
      <c r="H73" s="410"/>
      <c r="I73" s="405"/>
      <c r="J73" s="410"/>
      <c r="K73" s="405"/>
    </row>
    <row r="74" spans="1:22" ht="18" customHeight="1" x14ac:dyDescent="0.4">
      <c r="A74" s="98" t="s">
        <v>146</v>
      </c>
      <c r="B74" s="95" t="s">
        <v>147</v>
      </c>
      <c r="E74" s="95" t="s">
        <v>7</v>
      </c>
      <c r="F74" s="411">
        <f t="shared" ref="F74:K74" si="7">SUM(F68:F72)</f>
        <v>26</v>
      </c>
      <c r="G74" s="411">
        <f t="shared" si="7"/>
        <v>0</v>
      </c>
      <c r="H74" s="411">
        <f t="shared" si="7"/>
        <v>4280</v>
      </c>
      <c r="I74" s="412">
        <f t="shared" si="7"/>
        <v>2748</v>
      </c>
      <c r="J74" s="411">
        <f t="shared" si="7"/>
        <v>0</v>
      </c>
      <c r="K74" s="308">
        <f t="shared" si="7"/>
        <v>7028</v>
      </c>
    </row>
    <row r="75" spans="1:22" ht="42.75" customHeight="1" x14ac:dyDescent="0.4">
      <c r="F75" s="99" t="s">
        <v>9</v>
      </c>
      <c r="G75" s="99" t="s">
        <v>37</v>
      </c>
      <c r="H75" s="99" t="s">
        <v>29</v>
      </c>
      <c r="I75" s="99" t="s">
        <v>30</v>
      </c>
      <c r="J75" s="99" t="s">
        <v>33</v>
      </c>
      <c r="K75" s="99" t="s">
        <v>34</v>
      </c>
    </row>
    <row r="76" spans="1:22" ht="18" customHeight="1" x14ac:dyDescent="0.4">
      <c r="A76" s="98" t="s">
        <v>105</v>
      </c>
      <c r="B76" s="95" t="s">
        <v>106</v>
      </c>
    </row>
    <row r="77" spans="1:22" ht="18" customHeight="1" x14ac:dyDescent="0.4">
      <c r="A77" s="1" t="s">
        <v>107</v>
      </c>
      <c r="B77" s="94" t="s">
        <v>54</v>
      </c>
      <c r="F77" s="306"/>
      <c r="G77" s="306"/>
      <c r="H77" s="307">
        <v>52933</v>
      </c>
      <c r="I77" s="115">
        <v>0</v>
      </c>
      <c r="J77" s="307"/>
      <c r="K77" s="308">
        <f>(H77+I77)-J77</f>
        <v>52933</v>
      </c>
    </row>
    <row r="78" spans="1:22" ht="18" customHeight="1" x14ac:dyDescent="0.4">
      <c r="A78" s="1" t="s">
        <v>108</v>
      </c>
      <c r="B78" s="94" t="s">
        <v>55</v>
      </c>
      <c r="F78" s="306"/>
      <c r="G78" s="306"/>
      <c r="H78" s="307"/>
      <c r="I78" s="115">
        <v>0</v>
      </c>
      <c r="J78" s="307"/>
      <c r="K78" s="308">
        <f>(H78+I78)-J78</f>
        <v>0</v>
      </c>
    </row>
    <row r="79" spans="1:22" ht="18" customHeight="1" x14ac:dyDescent="0.4">
      <c r="A79" s="1" t="s">
        <v>109</v>
      </c>
      <c r="B79" s="94" t="s">
        <v>13</v>
      </c>
      <c r="F79" s="306">
        <v>2115</v>
      </c>
      <c r="G79" s="306">
        <v>4574</v>
      </c>
      <c r="H79" s="307">
        <v>388531</v>
      </c>
      <c r="I79" s="115">
        <v>0</v>
      </c>
      <c r="J79" s="307"/>
      <c r="K79" s="308">
        <f>(H79+I79)-J79</f>
        <v>388531</v>
      </c>
    </row>
    <row r="80" spans="1:22"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2115</v>
      </c>
      <c r="G82" s="411">
        <f t="shared" si="8"/>
        <v>4574</v>
      </c>
      <c r="H82" s="308">
        <f t="shared" si="8"/>
        <v>441464</v>
      </c>
      <c r="I82" s="308">
        <f t="shared" si="8"/>
        <v>0</v>
      </c>
      <c r="J82" s="308">
        <f t="shared" si="8"/>
        <v>0</v>
      </c>
      <c r="K82" s="308">
        <f t="shared" si="8"/>
        <v>441464</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v>39</v>
      </c>
      <c r="G87" s="306"/>
      <c r="H87" s="307">
        <v>7755</v>
      </c>
      <c r="I87" s="115">
        <v>4979</v>
      </c>
      <c r="J87" s="307"/>
      <c r="K87" s="308">
        <f t="shared" si="10"/>
        <v>12734</v>
      </c>
    </row>
    <row r="88" spans="1:11" ht="18" customHeight="1" x14ac:dyDescent="0.4">
      <c r="A88" s="1" t="s">
        <v>115</v>
      </c>
      <c r="B88" s="94" t="s">
        <v>116</v>
      </c>
      <c r="F88" s="306">
        <v>633</v>
      </c>
      <c r="G88" s="306">
        <v>469</v>
      </c>
      <c r="H88" s="307">
        <v>63904</v>
      </c>
      <c r="I88" s="115">
        <v>41026</v>
      </c>
      <c r="J88" s="307">
        <v>6600</v>
      </c>
      <c r="K88" s="308">
        <f t="shared" si="10"/>
        <v>98330</v>
      </c>
    </row>
    <row r="89" spans="1:11" ht="18" customHeight="1" x14ac:dyDescent="0.4">
      <c r="A89" s="1" t="s">
        <v>117</v>
      </c>
      <c r="B89" s="94" t="s">
        <v>58</v>
      </c>
      <c r="F89" s="306"/>
      <c r="G89" s="306"/>
      <c r="H89" s="307">
        <v>237086</v>
      </c>
      <c r="I89" s="115">
        <v>0</v>
      </c>
      <c r="J89" s="307"/>
      <c r="K89" s="308">
        <f t="shared" si="10"/>
        <v>237086</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v>375</v>
      </c>
      <c r="G91" s="306">
        <v>4</v>
      </c>
      <c r="H91" s="307">
        <v>1689076</v>
      </c>
      <c r="I91" s="115">
        <v>1084387</v>
      </c>
      <c r="J91" s="307">
        <v>911000</v>
      </c>
      <c r="K91" s="308">
        <f t="shared" si="10"/>
        <v>1862463</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v>6</v>
      </c>
      <c r="G93" s="306"/>
      <c r="H93" s="307">
        <v>1195</v>
      </c>
      <c r="I93" s="115">
        <v>767</v>
      </c>
      <c r="J93" s="307"/>
      <c r="K93" s="308">
        <f t="shared" si="10"/>
        <v>1962</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1053</v>
      </c>
      <c r="G98" s="310">
        <f t="shared" si="11"/>
        <v>473</v>
      </c>
      <c r="H98" s="310">
        <f t="shared" si="11"/>
        <v>1999016</v>
      </c>
      <c r="I98" s="310">
        <f t="shared" si="11"/>
        <v>1131159</v>
      </c>
      <c r="J98" s="310">
        <f t="shared" si="11"/>
        <v>917600</v>
      </c>
      <c r="K98" s="310">
        <f t="shared" si="11"/>
        <v>2212575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423</v>
      </c>
      <c r="G102" s="306">
        <v>142</v>
      </c>
      <c r="H102" s="307">
        <v>17500</v>
      </c>
      <c r="I102" s="115">
        <v>11235</v>
      </c>
      <c r="J102" s="307"/>
      <c r="K102" s="308">
        <f>(H102+I102)-J102</f>
        <v>28735</v>
      </c>
    </row>
    <row r="103" spans="1:11" ht="18" customHeight="1" x14ac:dyDescent="0.4">
      <c r="A103" s="1" t="s">
        <v>132</v>
      </c>
      <c r="B103" s="635" t="s">
        <v>62</v>
      </c>
      <c r="C103" s="635"/>
      <c r="F103" s="306">
        <v>5</v>
      </c>
      <c r="G103" s="306"/>
      <c r="H103" s="307">
        <v>996</v>
      </c>
      <c r="I103" s="115">
        <v>639</v>
      </c>
      <c r="J103" s="307"/>
      <c r="K103" s="308">
        <f>(H103+I103)-J103</f>
        <v>1635</v>
      </c>
    </row>
    <row r="104" spans="1:11" ht="18" customHeight="1" x14ac:dyDescent="0.4">
      <c r="A104" s="1" t="s">
        <v>128</v>
      </c>
      <c r="B104" s="655" t="s">
        <v>723</v>
      </c>
      <c r="C104" s="653"/>
      <c r="D104" s="654"/>
      <c r="F104" s="306">
        <v>2</v>
      </c>
      <c r="G104" s="306">
        <v>50</v>
      </c>
      <c r="H104" s="307">
        <v>53</v>
      </c>
      <c r="I104" s="115">
        <v>34</v>
      </c>
      <c r="J104" s="307"/>
      <c r="K104" s="308">
        <f>(H104+I104)-J104</f>
        <v>87</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430</v>
      </c>
      <c r="G108" s="310">
        <f t="shared" si="12"/>
        <v>192</v>
      </c>
      <c r="H108" s="308">
        <f t="shared" si="12"/>
        <v>18549</v>
      </c>
      <c r="I108" s="308">
        <f t="shared" si="12"/>
        <v>11908</v>
      </c>
      <c r="J108" s="308">
        <f t="shared" si="12"/>
        <v>0</v>
      </c>
      <c r="K108" s="308">
        <f t="shared" si="12"/>
        <v>30457</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14451000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0.64200000000000002</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463920913</v>
      </c>
    </row>
    <row r="118" spans="1:6" ht="18" customHeight="1" x14ac:dyDescent="0.4">
      <c r="A118" s="1" t="s">
        <v>173</v>
      </c>
      <c r="B118" t="s">
        <v>18</v>
      </c>
      <c r="F118" s="307">
        <v>19991893</v>
      </c>
    </row>
    <row r="119" spans="1:6" ht="18" customHeight="1" x14ac:dyDescent="0.4">
      <c r="A119" s="1" t="s">
        <v>174</v>
      </c>
      <c r="B119" s="95" t="s">
        <v>19</v>
      </c>
      <c r="F119" s="308">
        <f>SUM(F117:F118)</f>
        <v>483912806</v>
      </c>
    </row>
    <row r="120" spans="1:6" ht="18" customHeight="1" x14ac:dyDescent="0.4">
      <c r="A120" s="1"/>
      <c r="B120" s="95"/>
    </row>
    <row r="121" spans="1:6" ht="18" customHeight="1" x14ac:dyDescent="0.4">
      <c r="A121" s="1" t="s">
        <v>167</v>
      </c>
      <c r="B121" s="95" t="s">
        <v>36</v>
      </c>
      <c r="F121" s="307">
        <v>493289357</v>
      </c>
    </row>
    <row r="122" spans="1:6" ht="18" customHeight="1" x14ac:dyDescent="0.4">
      <c r="A122" s="1"/>
    </row>
    <row r="123" spans="1:6" ht="18" customHeight="1" x14ac:dyDescent="0.4">
      <c r="A123" s="1" t="s">
        <v>175</v>
      </c>
      <c r="B123" s="95" t="s">
        <v>20</v>
      </c>
      <c r="F123" s="307">
        <v>-9376551</v>
      </c>
    </row>
    <row r="124" spans="1:6" ht="18" customHeight="1" x14ac:dyDescent="0.4">
      <c r="A124" s="1"/>
    </row>
    <row r="125" spans="1:6" ht="18" customHeight="1" x14ac:dyDescent="0.4">
      <c r="A125" s="1" t="s">
        <v>176</v>
      </c>
      <c r="B125" s="95" t="s">
        <v>21</v>
      </c>
      <c r="F125" s="307">
        <v>35776929</v>
      </c>
    </row>
    <row r="126" spans="1:6" ht="18" customHeight="1" x14ac:dyDescent="0.4">
      <c r="A126" s="1"/>
    </row>
    <row r="127" spans="1:6" ht="18" customHeight="1" x14ac:dyDescent="0.4">
      <c r="A127" s="1" t="s">
        <v>177</v>
      </c>
      <c r="B127" s="95" t="s">
        <v>22</v>
      </c>
      <c r="F127" s="307">
        <v>26400378</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13408</v>
      </c>
      <c r="G141" s="109">
        <f t="shared" si="14"/>
        <v>34698</v>
      </c>
      <c r="H141" s="109">
        <f t="shared" si="14"/>
        <v>1019669</v>
      </c>
      <c r="I141" s="109">
        <f t="shared" si="14"/>
        <v>654628</v>
      </c>
      <c r="J141" s="109">
        <f t="shared" si="14"/>
        <v>129174</v>
      </c>
      <c r="K141" s="109">
        <f t="shared" si="14"/>
        <v>1545123</v>
      </c>
    </row>
    <row r="142" spans="1:11" ht="18" customHeight="1" x14ac:dyDescent="0.4">
      <c r="A142" s="1" t="s">
        <v>142</v>
      </c>
      <c r="B142" s="95" t="s">
        <v>65</v>
      </c>
      <c r="F142" s="109">
        <f t="shared" ref="F142:K142" si="15">F49</f>
        <v>11295</v>
      </c>
      <c r="G142" s="109">
        <f t="shared" si="15"/>
        <v>290</v>
      </c>
      <c r="H142" s="109">
        <f t="shared" si="15"/>
        <v>1006595</v>
      </c>
      <c r="I142" s="109">
        <f t="shared" si="15"/>
        <v>646234</v>
      </c>
      <c r="J142" s="109">
        <f t="shared" si="15"/>
        <v>42225</v>
      </c>
      <c r="K142" s="109">
        <f t="shared" si="15"/>
        <v>1610604</v>
      </c>
    </row>
    <row r="143" spans="1:11" ht="18" customHeight="1" x14ac:dyDescent="0.4">
      <c r="A143" s="1" t="s">
        <v>144</v>
      </c>
      <c r="B143" s="95" t="s">
        <v>66</v>
      </c>
      <c r="F143" s="109">
        <f t="shared" ref="F143:K143" si="16">F64</f>
        <v>547835</v>
      </c>
      <c r="G143" s="109">
        <f t="shared" si="16"/>
        <v>266491</v>
      </c>
      <c r="H143" s="109">
        <f t="shared" si="16"/>
        <v>87446026</v>
      </c>
      <c r="I143" s="109">
        <f t="shared" si="16"/>
        <v>17211352</v>
      </c>
      <c r="J143" s="109">
        <f t="shared" si="16"/>
        <v>55896290</v>
      </c>
      <c r="K143" s="109">
        <f t="shared" si="16"/>
        <v>48761088</v>
      </c>
    </row>
    <row r="144" spans="1:11" ht="18" customHeight="1" x14ac:dyDescent="0.4">
      <c r="A144" s="1" t="s">
        <v>146</v>
      </c>
      <c r="B144" s="95" t="s">
        <v>67</v>
      </c>
      <c r="F144" s="109">
        <f t="shared" ref="F144:K144" si="17">F74</f>
        <v>26</v>
      </c>
      <c r="G144" s="109">
        <f t="shared" si="17"/>
        <v>0</v>
      </c>
      <c r="H144" s="109">
        <f t="shared" si="17"/>
        <v>4280</v>
      </c>
      <c r="I144" s="109">
        <f t="shared" si="17"/>
        <v>2748</v>
      </c>
      <c r="J144" s="109">
        <f t="shared" si="17"/>
        <v>0</v>
      </c>
      <c r="K144" s="109">
        <f t="shared" si="17"/>
        <v>7028</v>
      </c>
    </row>
    <row r="145" spans="1:11" ht="18" customHeight="1" x14ac:dyDescent="0.4">
      <c r="A145" s="1" t="s">
        <v>148</v>
      </c>
      <c r="B145" s="95" t="s">
        <v>68</v>
      </c>
      <c r="F145" s="109">
        <f t="shared" ref="F145:K145" si="18">F82</f>
        <v>2115</v>
      </c>
      <c r="G145" s="109">
        <f t="shared" si="18"/>
        <v>4574</v>
      </c>
      <c r="H145" s="109">
        <f t="shared" si="18"/>
        <v>441464</v>
      </c>
      <c r="I145" s="109">
        <f t="shared" si="18"/>
        <v>0</v>
      </c>
      <c r="J145" s="109">
        <f t="shared" si="18"/>
        <v>0</v>
      </c>
      <c r="K145" s="109">
        <f t="shared" si="18"/>
        <v>441464</v>
      </c>
    </row>
    <row r="146" spans="1:11" ht="18" customHeight="1" x14ac:dyDescent="0.4">
      <c r="A146" s="1" t="s">
        <v>150</v>
      </c>
      <c r="B146" s="95" t="s">
        <v>69</v>
      </c>
      <c r="F146" s="109">
        <f t="shared" ref="F146:K146" si="19">F98</f>
        <v>1053</v>
      </c>
      <c r="G146" s="109">
        <f t="shared" si="19"/>
        <v>473</v>
      </c>
      <c r="H146" s="109">
        <f t="shared" si="19"/>
        <v>1999016</v>
      </c>
      <c r="I146" s="109">
        <f t="shared" si="19"/>
        <v>1131159</v>
      </c>
      <c r="J146" s="109">
        <f t="shared" si="19"/>
        <v>917600</v>
      </c>
      <c r="K146" s="109">
        <f t="shared" si="19"/>
        <v>2212575</v>
      </c>
    </row>
    <row r="147" spans="1:11" ht="18" customHeight="1" x14ac:dyDescent="0.4">
      <c r="A147" s="1" t="s">
        <v>153</v>
      </c>
      <c r="B147" s="95" t="s">
        <v>61</v>
      </c>
      <c r="F147" s="310">
        <f t="shared" ref="F147:K147" si="20">F108</f>
        <v>430</v>
      </c>
      <c r="G147" s="310">
        <f t="shared" si="20"/>
        <v>192</v>
      </c>
      <c r="H147" s="310">
        <f t="shared" si="20"/>
        <v>18549</v>
      </c>
      <c r="I147" s="310">
        <f t="shared" si="20"/>
        <v>11908</v>
      </c>
      <c r="J147" s="310">
        <f t="shared" si="20"/>
        <v>0</v>
      </c>
      <c r="K147" s="310">
        <f t="shared" si="20"/>
        <v>30457</v>
      </c>
    </row>
    <row r="148" spans="1:11" ht="18" customHeight="1" x14ac:dyDescent="0.4">
      <c r="A148" s="1" t="s">
        <v>155</v>
      </c>
      <c r="B148" s="95" t="s">
        <v>70</v>
      </c>
      <c r="F148" s="110" t="s">
        <v>73</v>
      </c>
      <c r="G148" s="110" t="s">
        <v>73</v>
      </c>
      <c r="H148" s="111" t="s">
        <v>73</v>
      </c>
      <c r="I148" s="111" t="s">
        <v>73</v>
      </c>
      <c r="J148" s="111" t="s">
        <v>73</v>
      </c>
      <c r="K148" s="106">
        <f>F111</f>
        <v>14451000</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9007713.7100000009</v>
      </c>
      <c r="I150" s="310">
        <f>I18</f>
        <v>0</v>
      </c>
      <c r="J150" s="310">
        <f>J18</f>
        <v>7465324.2800000003</v>
      </c>
      <c r="K150" s="310">
        <f>K18</f>
        <v>1542389.4300000006</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576162</v>
      </c>
      <c r="G152" s="114">
        <f t="shared" si="22"/>
        <v>306718</v>
      </c>
      <c r="H152" s="114">
        <f t="shared" si="22"/>
        <v>100943312.71000001</v>
      </c>
      <c r="I152" s="114">
        <f t="shared" si="22"/>
        <v>19658029</v>
      </c>
      <c r="J152" s="114">
        <f t="shared" si="22"/>
        <v>64450613.280000001</v>
      </c>
      <c r="K152" s="114">
        <f t="shared" si="22"/>
        <v>70601728.430000007</v>
      </c>
    </row>
    <row r="154" spans="1:11" ht="18" customHeight="1" x14ac:dyDescent="0.4">
      <c r="A154" s="98" t="s">
        <v>168</v>
      </c>
      <c r="B154" s="95" t="s">
        <v>28</v>
      </c>
      <c r="F154" s="318">
        <f>K152/F121</f>
        <v>0.14312436996284111</v>
      </c>
    </row>
    <row r="155" spans="1:11" ht="18" customHeight="1" x14ac:dyDescent="0.4">
      <c r="A155" s="98" t="s">
        <v>169</v>
      </c>
      <c r="B155" s="95" t="s">
        <v>72</v>
      </c>
      <c r="F155" s="318">
        <f>K152/F127</f>
        <v>2.6742696043973311</v>
      </c>
      <c r="G155" s="95"/>
    </row>
    <row r="156" spans="1:11" ht="18" customHeight="1" x14ac:dyDescent="0.4">
      <c r="G156" s="95"/>
    </row>
  </sheetData>
  <mergeCells count="34">
    <mergeCell ref="M52:N52"/>
    <mergeCell ref="B53:D53"/>
    <mergeCell ref="B57:D57"/>
    <mergeCell ref="B58:D58"/>
    <mergeCell ref="B59:D59"/>
    <mergeCell ref="B135:D135"/>
    <mergeCell ref="B95:D95"/>
    <mergeCell ref="B96:D96"/>
    <mergeCell ref="B103:C103"/>
    <mergeCell ref="B104:D104"/>
    <mergeCell ref="B105:D105"/>
    <mergeCell ref="B106:D106"/>
    <mergeCell ref="B133:D133"/>
    <mergeCell ref="B134:D134"/>
    <mergeCell ref="B90:C90"/>
    <mergeCell ref="B94:D94"/>
    <mergeCell ref="C10:G10"/>
    <mergeCell ref="B30:D30"/>
    <mergeCell ref="B52:C52"/>
    <mergeCell ref="B61:D61"/>
    <mergeCell ref="D2:H2"/>
    <mergeCell ref="B45:D45"/>
    <mergeCell ref="B46:D46"/>
    <mergeCell ref="B47:D47"/>
    <mergeCell ref="B34:D34"/>
    <mergeCell ref="C11:G11"/>
    <mergeCell ref="B41:C41"/>
    <mergeCell ref="B44:D44"/>
    <mergeCell ref="B13:H13"/>
    <mergeCell ref="C5:G5"/>
    <mergeCell ref="C6:G6"/>
    <mergeCell ref="C7:G7"/>
    <mergeCell ref="B31:D31"/>
    <mergeCell ref="C9:G9"/>
  </mergeCells>
  <hyperlinks>
    <hyperlink ref="C11" r:id="rId1" xr:uid="{64D34672-2F6D-40D7-A1F8-84C6D0972348}"/>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64" max="16383" man="1"/>
    <brk id="99" max="16383" man="1"/>
    <brk id="12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theme="0"/>
    <pageSetUpPr fitToPage="1"/>
  </sheetPr>
  <dimension ref="A1:V156"/>
  <sheetViews>
    <sheetView showGridLines="0" topLeftCell="A133" zoomScale="80" zoomScaleNormal="80" zoomScaleSheetLayoutView="85" workbookViewId="0">
      <selection activeCell="K152" sqref="K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style="212" customWidth="1"/>
    <col min="7" max="7" width="23.5546875" customWidth="1"/>
    <col min="8" max="8" width="17.1640625" customWidth="1"/>
    <col min="9" max="9" width="21.1640625" customWidth="1"/>
    <col min="10" max="10" width="19.83203125" customWidth="1"/>
    <col min="11" max="11" width="17.5546875" customWidth="1"/>
    <col min="12" max="12" width="7.1640625" customWidth="1"/>
    <col min="13" max="13" width="78.38671875" customWidth="1"/>
    <col min="14" max="14" width="14.83203125" customWidth="1"/>
    <col min="15" max="17" width="17.5546875" customWidth="1"/>
    <col min="18" max="18" width="18.609375" customWidth="1"/>
    <col min="19" max="19" width="18.44140625" customWidth="1"/>
  </cols>
  <sheetData>
    <row r="1" spans="1:11" ht="18" customHeight="1" x14ac:dyDescent="0.4">
      <c r="C1" s="97"/>
      <c r="D1" s="96"/>
      <c r="E1" s="97"/>
      <c r="F1" s="254"/>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224</v>
      </c>
      <c r="D5" s="666"/>
      <c r="E5" s="666"/>
      <c r="F5" s="666"/>
      <c r="G5" s="667"/>
    </row>
    <row r="6" spans="1:11" ht="18" customHeight="1" x14ac:dyDescent="0.4">
      <c r="B6" s="1" t="s">
        <v>3</v>
      </c>
      <c r="C6" s="668" t="s">
        <v>323</v>
      </c>
      <c r="D6" s="669"/>
      <c r="E6" s="669"/>
      <c r="F6" s="669"/>
      <c r="G6" s="670"/>
    </row>
    <row r="7" spans="1:11" ht="18" customHeight="1" x14ac:dyDescent="0.4">
      <c r="B7" s="1" t="s">
        <v>4</v>
      </c>
      <c r="C7" s="686">
        <v>1896</v>
      </c>
      <c r="D7" s="687"/>
      <c r="E7" s="687"/>
      <c r="F7" s="687"/>
      <c r="G7" s="688"/>
    </row>
    <row r="9" spans="1:11" ht="18" customHeight="1" x14ac:dyDescent="0.4">
      <c r="B9" s="1" t="s">
        <v>1</v>
      </c>
      <c r="C9" s="663" t="s">
        <v>324</v>
      </c>
      <c r="D9" s="666"/>
      <c r="E9" s="666"/>
      <c r="F9" s="666"/>
      <c r="G9" s="667"/>
    </row>
    <row r="10" spans="1:11" ht="18" customHeight="1" x14ac:dyDescent="0.4">
      <c r="B10" s="1" t="s">
        <v>2</v>
      </c>
      <c r="C10" s="660" t="s">
        <v>325</v>
      </c>
      <c r="D10" s="661"/>
      <c r="E10" s="661"/>
      <c r="F10" s="661"/>
      <c r="G10" s="662"/>
    </row>
    <row r="11" spans="1:11" ht="18" customHeight="1" x14ac:dyDescent="0.4">
      <c r="B11" s="1" t="s">
        <v>32</v>
      </c>
      <c r="C11" s="663" t="s">
        <v>470</v>
      </c>
      <c r="D11" s="664"/>
      <c r="E11" s="664"/>
      <c r="F11" s="664"/>
      <c r="G11" s="664"/>
    </row>
    <row r="12" spans="1:11" ht="18" customHeight="1" x14ac:dyDescent="0.4">
      <c r="B12" s="1"/>
      <c r="C12" s="1"/>
      <c r="D12" s="1"/>
      <c r="E12" s="1"/>
      <c r="F12" s="494"/>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255"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495" t="s">
        <v>73</v>
      </c>
      <c r="G18" s="496" t="s">
        <v>73</v>
      </c>
      <c r="H18" s="615">
        <v>6526438.3399999999</v>
      </c>
      <c r="I18" s="243">
        <v>0</v>
      </c>
      <c r="J18" s="615">
        <v>5408917.2999999998</v>
      </c>
      <c r="K18" s="559">
        <f>(H18+I18)-J18</f>
        <v>1117521.04</v>
      </c>
    </row>
    <row r="19" spans="1:11" ht="45" customHeight="1" x14ac:dyDescent="0.4">
      <c r="A19" s="96" t="s">
        <v>8</v>
      </c>
      <c r="B19" s="97"/>
      <c r="C19" s="97"/>
      <c r="D19" s="97"/>
      <c r="E19" s="97"/>
      <c r="F19" s="255" t="s">
        <v>9</v>
      </c>
      <c r="G19" s="99" t="s">
        <v>37</v>
      </c>
      <c r="H19" s="89" t="s">
        <v>29</v>
      </c>
      <c r="I19" s="89" t="s">
        <v>30</v>
      </c>
      <c r="J19" s="89" t="s">
        <v>33</v>
      </c>
      <c r="K19" s="89" t="s">
        <v>34</v>
      </c>
    </row>
    <row r="20" spans="1:11" ht="18" customHeight="1" x14ac:dyDescent="0.4">
      <c r="A20" s="98" t="s">
        <v>74</v>
      </c>
      <c r="B20" s="95" t="s">
        <v>41</v>
      </c>
      <c r="H20" s="241"/>
      <c r="I20" s="241"/>
      <c r="J20" s="241"/>
      <c r="K20" s="241"/>
    </row>
    <row r="21" spans="1:11" ht="18" customHeight="1" x14ac:dyDescent="0.4">
      <c r="A21" s="1" t="s">
        <v>75</v>
      </c>
      <c r="B21" s="94" t="s">
        <v>42</v>
      </c>
      <c r="F21" s="322">
        <v>3192.5</v>
      </c>
      <c r="G21" s="322">
        <v>23563</v>
      </c>
      <c r="H21" s="323">
        <v>285493</v>
      </c>
      <c r="I21" s="243">
        <f t="shared" ref="I21:I27" si="0">H21*F$114</f>
        <v>192707.77500000002</v>
      </c>
      <c r="J21" s="323">
        <v>69580</v>
      </c>
      <c r="K21" s="335">
        <f t="shared" ref="K21:K29" si="1">(H21+I21)-J21</f>
        <v>408620.77500000002</v>
      </c>
    </row>
    <row r="22" spans="1:11" ht="18" customHeight="1" x14ac:dyDescent="0.4">
      <c r="A22" s="1" t="s">
        <v>76</v>
      </c>
      <c r="B22" t="s">
        <v>6</v>
      </c>
      <c r="F22" s="322">
        <v>762</v>
      </c>
      <c r="G22" s="322">
        <v>859</v>
      </c>
      <c r="H22" s="323">
        <v>35364</v>
      </c>
      <c r="I22" s="243">
        <f t="shared" si="0"/>
        <v>23870.7</v>
      </c>
      <c r="J22" s="323">
        <v>1190</v>
      </c>
      <c r="K22" s="335">
        <f t="shared" si="1"/>
        <v>58044.7</v>
      </c>
    </row>
    <row r="23" spans="1:11" ht="18" customHeight="1" x14ac:dyDescent="0.4">
      <c r="A23" s="1" t="s">
        <v>77</v>
      </c>
      <c r="B23" t="s">
        <v>43</v>
      </c>
      <c r="F23" s="322">
        <v>483</v>
      </c>
      <c r="G23" s="322">
        <v>36830</v>
      </c>
      <c r="H23" s="323">
        <v>19835</v>
      </c>
      <c r="I23" s="243">
        <f t="shared" si="0"/>
        <v>13388.625</v>
      </c>
      <c r="J23" s="323">
        <v>1586</v>
      </c>
      <c r="K23" s="335">
        <f t="shared" si="1"/>
        <v>31637.625</v>
      </c>
    </row>
    <row r="24" spans="1:11" ht="18" customHeight="1" x14ac:dyDescent="0.4">
      <c r="A24" s="1" t="s">
        <v>78</v>
      </c>
      <c r="B24" t="s">
        <v>44</v>
      </c>
      <c r="F24" s="322">
        <v>2600</v>
      </c>
      <c r="G24" s="322">
        <v>0</v>
      </c>
      <c r="H24" s="323">
        <v>233000</v>
      </c>
      <c r="I24" s="243">
        <f t="shared" si="0"/>
        <v>157275</v>
      </c>
      <c r="J24" s="323">
        <v>68787</v>
      </c>
      <c r="K24" s="335">
        <f t="shared" si="1"/>
        <v>321488</v>
      </c>
    </row>
    <row r="25" spans="1:11" ht="18" customHeight="1" x14ac:dyDescent="0.4">
      <c r="A25" s="1" t="s">
        <v>79</v>
      </c>
      <c r="B25" t="s">
        <v>5</v>
      </c>
      <c r="F25" s="322">
        <v>1940</v>
      </c>
      <c r="G25" s="322">
        <v>1852</v>
      </c>
      <c r="H25" s="323">
        <v>131500</v>
      </c>
      <c r="I25" s="243">
        <f t="shared" si="0"/>
        <v>88762.5</v>
      </c>
      <c r="J25" s="323">
        <v>30159</v>
      </c>
      <c r="K25" s="335">
        <f t="shared" si="1"/>
        <v>190103.5</v>
      </c>
    </row>
    <row r="26" spans="1:11" ht="18" customHeight="1" x14ac:dyDescent="0.4">
      <c r="A26" s="1" t="s">
        <v>80</v>
      </c>
      <c r="B26" t="s">
        <v>45</v>
      </c>
      <c r="F26" s="322">
        <v>156</v>
      </c>
      <c r="G26" s="322">
        <v>130</v>
      </c>
      <c r="H26" s="323">
        <v>6285</v>
      </c>
      <c r="I26" s="243">
        <f t="shared" si="0"/>
        <v>4242.375</v>
      </c>
      <c r="J26" s="323">
        <v>529</v>
      </c>
      <c r="K26" s="335">
        <f t="shared" si="1"/>
        <v>9998.375</v>
      </c>
    </row>
    <row r="27" spans="1:11" ht="18" customHeight="1" x14ac:dyDescent="0.4">
      <c r="A27" s="1" t="s">
        <v>81</v>
      </c>
      <c r="B27" t="s">
        <v>455</v>
      </c>
      <c r="F27" s="322">
        <v>1561.5</v>
      </c>
      <c r="G27" s="322">
        <v>3771</v>
      </c>
      <c r="H27" s="323">
        <v>273578</v>
      </c>
      <c r="I27" s="243">
        <f t="shared" si="0"/>
        <v>184665.15000000002</v>
      </c>
      <c r="J27" s="323">
        <v>1005</v>
      </c>
      <c r="K27" s="335">
        <f t="shared" si="1"/>
        <v>457238.15</v>
      </c>
    </row>
    <row r="28" spans="1:11" ht="18" customHeight="1" x14ac:dyDescent="0.4">
      <c r="A28" s="1" t="s">
        <v>82</v>
      </c>
      <c r="B28" t="s">
        <v>47</v>
      </c>
      <c r="F28" s="322"/>
      <c r="G28" s="322"/>
      <c r="H28" s="323"/>
      <c r="I28" s="243"/>
      <c r="J28" s="323"/>
      <c r="K28" s="335">
        <f t="shared" si="1"/>
        <v>0</v>
      </c>
    </row>
    <row r="29" spans="1:11" ht="18" customHeight="1" x14ac:dyDescent="0.4">
      <c r="A29" s="1" t="s">
        <v>83</v>
      </c>
      <c r="B29" t="s">
        <v>48</v>
      </c>
      <c r="F29" s="322">
        <v>20730</v>
      </c>
      <c r="G29" s="322">
        <v>5717</v>
      </c>
      <c r="H29" s="323">
        <v>1998373</v>
      </c>
      <c r="I29" s="243">
        <f>H29*F$114</f>
        <v>1348901.7750000001</v>
      </c>
      <c r="J29" s="323">
        <v>27515</v>
      </c>
      <c r="K29" s="335">
        <f t="shared" si="1"/>
        <v>3319759.7750000004</v>
      </c>
    </row>
    <row r="30" spans="1:11" ht="18" customHeight="1" x14ac:dyDescent="0.4">
      <c r="A30" s="1" t="s">
        <v>84</v>
      </c>
      <c r="B30" s="630"/>
      <c r="C30" s="631"/>
      <c r="D30" s="632"/>
      <c r="F30" s="322"/>
      <c r="G30" s="322"/>
      <c r="H30" s="323"/>
      <c r="I30" s="243"/>
      <c r="J30" s="323"/>
      <c r="K30" s="335"/>
    </row>
    <row r="31" spans="1:11" ht="18" customHeight="1" x14ac:dyDescent="0.4">
      <c r="A31" s="1" t="s">
        <v>133</v>
      </c>
      <c r="B31" s="630"/>
      <c r="C31" s="631"/>
      <c r="D31" s="632"/>
      <c r="F31" s="322"/>
      <c r="G31" s="322"/>
      <c r="H31" s="323"/>
      <c r="I31" s="243"/>
      <c r="J31" s="323"/>
      <c r="K31" s="335"/>
    </row>
    <row r="32" spans="1:11" ht="18" customHeight="1" x14ac:dyDescent="0.4">
      <c r="A32" s="1" t="s">
        <v>134</v>
      </c>
      <c r="B32" s="394"/>
      <c r="C32" s="395"/>
      <c r="D32" s="396"/>
      <c r="F32" s="322"/>
      <c r="G32" s="450" t="s">
        <v>85</v>
      </c>
      <c r="H32" s="323"/>
      <c r="I32" s="243"/>
      <c r="J32" s="323"/>
      <c r="K32" s="335"/>
    </row>
    <row r="33" spans="1:11" ht="18" customHeight="1" x14ac:dyDescent="0.4">
      <c r="A33" s="1" t="s">
        <v>135</v>
      </c>
      <c r="B33" s="394"/>
      <c r="C33" s="395"/>
      <c r="D33" s="396"/>
      <c r="F33" s="322"/>
      <c r="G33" s="450" t="s">
        <v>85</v>
      </c>
      <c r="H33" s="323"/>
      <c r="I33" s="243"/>
      <c r="J33" s="323"/>
      <c r="K33" s="335"/>
    </row>
    <row r="34" spans="1:11" ht="18" customHeight="1" x14ac:dyDescent="0.4">
      <c r="A34" s="1" t="s">
        <v>136</v>
      </c>
      <c r="B34" s="630"/>
      <c r="C34" s="631"/>
      <c r="D34" s="632"/>
      <c r="F34" s="322"/>
      <c r="G34" s="450" t="s">
        <v>85</v>
      </c>
      <c r="H34" s="323"/>
      <c r="I34" s="243"/>
      <c r="J34" s="323"/>
      <c r="K34" s="335"/>
    </row>
    <row r="35" spans="1:11" ht="18" customHeight="1" x14ac:dyDescent="0.4">
      <c r="G35" s="212"/>
      <c r="H35" s="241"/>
      <c r="I35" s="241"/>
      <c r="J35" s="241"/>
      <c r="K35" s="336"/>
    </row>
    <row r="36" spans="1:11" ht="18" customHeight="1" x14ac:dyDescent="0.4">
      <c r="A36" s="98" t="s">
        <v>137</v>
      </c>
      <c r="B36" s="95" t="s">
        <v>138</v>
      </c>
      <c r="E36" s="95" t="s">
        <v>7</v>
      </c>
      <c r="F36" s="321">
        <f t="shared" ref="F36:K36" si="2">SUM(F21:F34)</f>
        <v>31425</v>
      </c>
      <c r="G36" s="321">
        <f t="shared" si="2"/>
        <v>72722</v>
      </c>
      <c r="H36" s="335">
        <f t="shared" si="2"/>
        <v>2983428</v>
      </c>
      <c r="I36" s="335">
        <f t="shared" si="2"/>
        <v>2013813.9000000001</v>
      </c>
      <c r="J36" s="335">
        <f t="shared" si="2"/>
        <v>200351</v>
      </c>
      <c r="K36" s="335">
        <f t="shared" si="2"/>
        <v>4796890.9000000004</v>
      </c>
    </row>
    <row r="37" spans="1:11" ht="18" customHeight="1" thickBot="1" x14ac:dyDescent="0.45">
      <c r="B37" s="95"/>
      <c r="F37" s="497"/>
      <c r="G37" s="398"/>
      <c r="H37" s="399"/>
      <c r="I37" s="399"/>
      <c r="J37" s="399"/>
      <c r="K37" s="112"/>
    </row>
    <row r="38" spans="1:11" ht="42.75" customHeight="1" x14ac:dyDescent="0.4">
      <c r="F38" s="255"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22">
        <v>5425</v>
      </c>
      <c r="G40" s="322">
        <v>323</v>
      </c>
      <c r="H40" s="323">
        <v>426108</v>
      </c>
      <c r="I40" s="243">
        <f>H40*F114</f>
        <v>287622.90000000002</v>
      </c>
      <c r="J40" s="323">
        <v>0</v>
      </c>
      <c r="K40" s="335">
        <f t="shared" ref="K40:K44" si="3">(H40+I40)-J40</f>
        <v>713730.9</v>
      </c>
    </row>
    <row r="41" spans="1:11" ht="18" customHeight="1" x14ac:dyDescent="0.4">
      <c r="A41" s="1" t="s">
        <v>88</v>
      </c>
      <c r="B41" s="635" t="s">
        <v>50</v>
      </c>
      <c r="C41" s="636"/>
      <c r="F41" s="322">
        <v>19064.5</v>
      </c>
      <c r="G41" s="322">
        <v>484</v>
      </c>
      <c r="H41" s="323">
        <v>1613408</v>
      </c>
      <c r="I41" s="243">
        <f>H41*F114</f>
        <v>1089050.4000000001</v>
      </c>
      <c r="J41" s="323">
        <v>0</v>
      </c>
      <c r="K41" s="335">
        <f t="shared" si="3"/>
        <v>2702458.4000000004</v>
      </c>
    </row>
    <row r="42" spans="1:11" ht="18" customHeight="1" x14ac:dyDescent="0.4">
      <c r="A42" s="1" t="s">
        <v>89</v>
      </c>
      <c r="B42" s="94" t="s">
        <v>11</v>
      </c>
      <c r="F42" s="322">
        <v>2703</v>
      </c>
      <c r="G42" s="322">
        <v>206</v>
      </c>
      <c r="H42" s="323">
        <v>175326</v>
      </c>
      <c r="I42" s="243">
        <f>H42*F114</f>
        <v>118345.05</v>
      </c>
      <c r="J42" s="323">
        <v>5503</v>
      </c>
      <c r="K42" s="335">
        <f t="shared" si="3"/>
        <v>288168.05</v>
      </c>
    </row>
    <row r="43" spans="1:11" ht="18" customHeight="1" x14ac:dyDescent="0.4">
      <c r="A43" s="1" t="s">
        <v>90</v>
      </c>
      <c r="B43" s="94" t="s">
        <v>10</v>
      </c>
      <c r="F43" s="322">
        <v>55</v>
      </c>
      <c r="G43" s="322">
        <v>24</v>
      </c>
      <c r="H43" s="323">
        <v>4842</v>
      </c>
      <c r="I43" s="243">
        <f>H43*F114</f>
        <v>3268.3500000000004</v>
      </c>
      <c r="J43" s="323">
        <v>0</v>
      </c>
      <c r="K43" s="335">
        <f t="shared" si="3"/>
        <v>8110.35</v>
      </c>
    </row>
    <row r="44" spans="1:11" ht="18" customHeight="1" x14ac:dyDescent="0.4">
      <c r="A44" s="1" t="s">
        <v>91</v>
      </c>
      <c r="B44" s="744" t="s">
        <v>229</v>
      </c>
      <c r="C44" s="744"/>
      <c r="D44" s="744"/>
      <c r="F44" s="498">
        <v>7169</v>
      </c>
      <c r="G44" s="498">
        <v>66</v>
      </c>
      <c r="H44" s="346">
        <v>339676</v>
      </c>
      <c r="I44" s="499">
        <f>H44*F114</f>
        <v>229281.30000000002</v>
      </c>
      <c r="J44" s="500">
        <v>0</v>
      </c>
      <c r="K44" s="335">
        <f t="shared" si="3"/>
        <v>568957.30000000005</v>
      </c>
    </row>
    <row r="45" spans="1:11" ht="18" customHeight="1" x14ac:dyDescent="0.4">
      <c r="A45" s="1" t="s">
        <v>139</v>
      </c>
      <c r="B45" s="742"/>
      <c r="C45" s="742"/>
      <c r="D45" s="742"/>
      <c r="F45" s="322"/>
      <c r="G45" s="322"/>
      <c r="H45" s="323"/>
      <c r="I45" s="243"/>
      <c r="J45" s="323"/>
      <c r="K45" s="335"/>
    </row>
    <row r="46" spans="1:11" ht="18" customHeight="1" x14ac:dyDescent="0.4">
      <c r="A46" s="1" t="s">
        <v>140</v>
      </c>
      <c r="B46" s="630"/>
      <c r="C46" s="631"/>
      <c r="D46" s="632"/>
      <c r="F46" s="322"/>
      <c r="G46" s="322"/>
      <c r="H46" s="323"/>
      <c r="I46" s="243"/>
      <c r="J46" s="323"/>
      <c r="K46" s="335"/>
    </row>
    <row r="47" spans="1:11" ht="18" customHeight="1" x14ac:dyDescent="0.4">
      <c r="A47" s="1" t="s">
        <v>141</v>
      </c>
      <c r="B47" s="630"/>
      <c r="C47" s="631"/>
      <c r="D47" s="632"/>
      <c r="F47" s="322"/>
      <c r="G47" s="322"/>
      <c r="H47" s="323"/>
      <c r="I47" s="243"/>
      <c r="J47" s="323"/>
      <c r="K47" s="335"/>
    </row>
    <row r="48" spans="1:11" ht="18" customHeight="1" x14ac:dyDescent="0.4">
      <c r="G48" s="212"/>
      <c r="H48" s="241"/>
      <c r="I48" s="241"/>
      <c r="J48" s="241"/>
      <c r="K48" s="241"/>
    </row>
    <row r="49" spans="1:22" ht="18" customHeight="1" x14ac:dyDescent="0.4">
      <c r="A49" s="98" t="s">
        <v>142</v>
      </c>
      <c r="B49" s="95" t="s">
        <v>143</v>
      </c>
      <c r="E49" s="95" t="s">
        <v>7</v>
      </c>
      <c r="F49" s="321">
        <f t="shared" ref="F49:K49" si="4">SUM(F40:F47)</f>
        <v>34416.5</v>
      </c>
      <c r="G49" s="321">
        <f t="shared" si="4"/>
        <v>1103</v>
      </c>
      <c r="H49" s="335">
        <f t="shared" si="4"/>
        <v>2559360</v>
      </c>
      <c r="I49" s="335">
        <f t="shared" si="4"/>
        <v>1727568.0000000005</v>
      </c>
      <c r="J49" s="335">
        <f t="shared" si="4"/>
        <v>5503</v>
      </c>
      <c r="K49" s="335">
        <f t="shared" si="4"/>
        <v>4281425</v>
      </c>
    </row>
    <row r="50" spans="1:22" ht="18" customHeight="1" thickBot="1" x14ac:dyDescent="0.45">
      <c r="G50" s="103"/>
      <c r="H50" s="103"/>
      <c r="I50" s="103"/>
      <c r="J50" s="103"/>
      <c r="K50" s="103"/>
    </row>
    <row r="51" spans="1:22" ht="42.75" customHeight="1" x14ac:dyDescent="0.4">
      <c r="F51" s="255" t="s">
        <v>9</v>
      </c>
      <c r="G51" s="99" t="s">
        <v>37</v>
      </c>
      <c r="H51" s="99" t="s">
        <v>29</v>
      </c>
      <c r="I51" s="99" t="s">
        <v>30</v>
      </c>
      <c r="J51" s="99" t="s">
        <v>33</v>
      </c>
      <c r="K51" s="99" t="s">
        <v>34</v>
      </c>
      <c r="N51" s="255" t="s">
        <v>9</v>
      </c>
      <c r="O51" s="99" t="s">
        <v>37</v>
      </c>
      <c r="P51" s="99" t="s">
        <v>29</v>
      </c>
      <c r="Q51" s="99" t="s">
        <v>30</v>
      </c>
      <c r="R51" s="99" t="s">
        <v>33</v>
      </c>
      <c r="S51" s="99" t="s">
        <v>34</v>
      </c>
      <c r="T51" s="99"/>
      <c r="U51" s="99"/>
      <c r="V51" s="99"/>
    </row>
    <row r="52" spans="1:22" ht="18" customHeight="1" x14ac:dyDescent="0.4">
      <c r="A52" s="98" t="s">
        <v>92</v>
      </c>
      <c r="B52" s="656" t="s">
        <v>38</v>
      </c>
      <c r="C52" s="657"/>
      <c r="M52" s="656" t="s">
        <v>706</v>
      </c>
      <c r="N52" s="657"/>
      <c r="Q52" s="212"/>
    </row>
    <row r="53" spans="1:22" ht="18" customHeight="1" x14ac:dyDescent="0.4">
      <c r="A53" s="1" t="s">
        <v>51</v>
      </c>
      <c r="B53" s="740" t="s">
        <v>724</v>
      </c>
      <c r="C53" s="659"/>
      <c r="D53" s="654"/>
      <c r="F53" s="322">
        <v>0</v>
      </c>
      <c r="G53" s="322">
        <v>0</v>
      </c>
      <c r="H53" s="323">
        <v>2076912</v>
      </c>
      <c r="I53" s="243">
        <v>0</v>
      </c>
      <c r="J53" s="323">
        <v>851096</v>
      </c>
      <c r="K53" s="335">
        <f t="shared" ref="K53:K62" si="5">(H53+I53)-J53</f>
        <v>1225816</v>
      </c>
      <c r="M53" s="483" t="s">
        <v>725</v>
      </c>
      <c r="N53" s="322">
        <v>0</v>
      </c>
      <c r="O53" s="322">
        <v>0</v>
      </c>
      <c r="P53" s="323">
        <v>72100</v>
      </c>
      <c r="Q53" s="243">
        <v>0</v>
      </c>
      <c r="R53" s="323">
        <v>0</v>
      </c>
      <c r="S53" s="335">
        <f t="shared" ref="S53:S58" si="6">(P53+Q53)-R53</f>
        <v>72100</v>
      </c>
    </row>
    <row r="54" spans="1:22" ht="18" customHeight="1" x14ac:dyDescent="0.4">
      <c r="A54" s="1" t="s">
        <v>93</v>
      </c>
      <c r="B54" s="483" t="s">
        <v>326</v>
      </c>
      <c r="C54" s="401"/>
      <c r="D54" s="402"/>
      <c r="F54" s="322">
        <v>0</v>
      </c>
      <c r="G54" s="322">
        <v>0</v>
      </c>
      <c r="H54" s="323">
        <v>780042</v>
      </c>
      <c r="I54" s="243">
        <v>0</v>
      </c>
      <c r="J54" s="323">
        <v>0</v>
      </c>
      <c r="K54" s="335">
        <f t="shared" si="5"/>
        <v>780042</v>
      </c>
      <c r="M54" s="483" t="s">
        <v>726</v>
      </c>
      <c r="N54" s="322">
        <v>0</v>
      </c>
      <c r="O54" s="322">
        <v>0</v>
      </c>
      <c r="P54" s="323">
        <v>467347</v>
      </c>
      <c r="Q54" s="243">
        <v>0</v>
      </c>
      <c r="R54" s="323">
        <v>0</v>
      </c>
      <c r="S54" s="335">
        <f t="shared" si="6"/>
        <v>467347</v>
      </c>
    </row>
    <row r="55" spans="1:22" ht="18" customHeight="1" x14ac:dyDescent="0.4">
      <c r="A55" s="1" t="s">
        <v>94</v>
      </c>
      <c r="B55" s="652" t="s">
        <v>622</v>
      </c>
      <c r="C55" s="653"/>
      <c r="D55" s="654"/>
      <c r="F55" s="322">
        <v>845</v>
      </c>
      <c r="G55" s="322">
        <v>2508</v>
      </c>
      <c r="H55" s="323">
        <v>34119</v>
      </c>
      <c r="I55" s="243">
        <v>0</v>
      </c>
      <c r="J55" s="323">
        <v>2855</v>
      </c>
      <c r="K55" s="335">
        <f t="shared" si="5"/>
        <v>31264</v>
      </c>
      <c r="M55" s="483" t="s">
        <v>727</v>
      </c>
      <c r="N55" s="322">
        <v>0</v>
      </c>
      <c r="O55" s="322">
        <v>0</v>
      </c>
      <c r="P55" s="323">
        <v>93121</v>
      </c>
      <c r="Q55" s="243">
        <v>0</v>
      </c>
      <c r="R55" s="323">
        <v>0</v>
      </c>
      <c r="S55" s="335">
        <f t="shared" si="6"/>
        <v>93121</v>
      </c>
    </row>
    <row r="56" spans="1:22" ht="18" customHeight="1" x14ac:dyDescent="0.4">
      <c r="A56" s="1" t="s">
        <v>95</v>
      </c>
      <c r="B56" s="652" t="s">
        <v>728</v>
      </c>
      <c r="C56" s="653"/>
      <c r="D56" s="654"/>
      <c r="F56" s="322">
        <v>0</v>
      </c>
      <c r="G56" s="322">
        <v>0</v>
      </c>
      <c r="H56" s="323">
        <v>174412</v>
      </c>
      <c r="I56" s="243">
        <v>0</v>
      </c>
      <c r="J56" s="323">
        <v>0</v>
      </c>
      <c r="K56" s="335">
        <f t="shared" si="5"/>
        <v>174412</v>
      </c>
      <c r="M56" s="483" t="s">
        <v>729</v>
      </c>
      <c r="N56" s="322">
        <v>0</v>
      </c>
      <c r="O56" s="322">
        <v>0</v>
      </c>
      <c r="P56" s="323">
        <v>274201</v>
      </c>
      <c r="Q56" s="243">
        <v>0</v>
      </c>
      <c r="R56" s="323">
        <v>0</v>
      </c>
      <c r="S56" s="335">
        <f t="shared" si="6"/>
        <v>274201</v>
      </c>
    </row>
    <row r="57" spans="1:22" ht="18" customHeight="1" x14ac:dyDescent="0.4">
      <c r="A57" s="1" t="s">
        <v>96</v>
      </c>
      <c r="B57" s="652" t="s">
        <v>730</v>
      </c>
      <c r="C57" s="653"/>
      <c r="D57" s="654"/>
      <c r="F57" s="322">
        <v>0</v>
      </c>
      <c r="G57" s="322">
        <v>0</v>
      </c>
      <c r="H57" s="323">
        <v>204957</v>
      </c>
      <c r="I57" s="243">
        <v>0</v>
      </c>
      <c r="J57" s="323">
        <v>0</v>
      </c>
      <c r="K57" s="335">
        <f t="shared" si="5"/>
        <v>204957</v>
      </c>
      <c r="M57" s="483" t="s">
        <v>731</v>
      </c>
      <c r="N57" s="322">
        <v>0</v>
      </c>
      <c r="O57" s="322">
        <v>0</v>
      </c>
      <c r="P57" s="323">
        <v>9075433</v>
      </c>
      <c r="Q57" s="243">
        <v>0</v>
      </c>
      <c r="R57" s="323">
        <v>0</v>
      </c>
      <c r="S57" s="335">
        <f t="shared" si="6"/>
        <v>9075433</v>
      </c>
    </row>
    <row r="58" spans="1:22" ht="18" customHeight="1" x14ac:dyDescent="0.4">
      <c r="A58" s="1" t="s">
        <v>97</v>
      </c>
      <c r="B58" s="483" t="s">
        <v>732</v>
      </c>
      <c r="C58" s="401"/>
      <c r="D58" s="402"/>
      <c r="F58" s="322">
        <v>0</v>
      </c>
      <c r="G58" s="322">
        <v>0</v>
      </c>
      <c r="H58" s="323">
        <v>333062</v>
      </c>
      <c r="I58" s="243">
        <v>0</v>
      </c>
      <c r="J58" s="323">
        <v>0</v>
      </c>
      <c r="K58" s="335">
        <f t="shared" si="5"/>
        <v>333062</v>
      </c>
      <c r="M58" s="483" t="s">
        <v>733</v>
      </c>
      <c r="N58" s="322">
        <v>520</v>
      </c>
      <c r="O58" s="322">
        <v>0</v>
      </c>
      <c r="P58" s="323">
        <v>46600</v>
      </c>
      <c r="Q58" s="243">
        <v>0</v>
      </c>
      <c r="R58" s="323">
        <v>13575</v>
      </c>
      <c r="S58" s="335">
        <f t="shared" si="6"/>
        <v>33025</v>
      </c>
    </row>
    <row r="59" spans="1:22" ht="18" customHeight="1" x14ac:dyDescent="0.4">
      <c r="A59" s="1" t="s">
        <v>98</v>
      </c>
      <c r="B59" s="652" t="s">
        <v>734</v>
      </c>
      <c r="C59" s="653"/>
      <c r="D59" s="654"/>
      <c r="F59" s="322">
        <v>0</v>
      </c>
      <c r="G59" s="322">
        <v>0</v>
      </c>
      <c r="H59" s="323">
        <v>374695</v>
      </c>
      <c r="I59" s="243">
        <v>0</v>
      </c>
      <c r="J59" s="323">
        <v>0</v>
      </c>
      <c r="K59" s="335">
        <f t="shared" si="5"/>
        <v>374695</v>
      </c>
    </row>
    <row r="60" spans="1:22" ht="18" customHeight="1" x14ac:dyDescent="0.4">
      <c r="A60" s="1" t="s">
        <v>99</v>
      </c>
      <c r="B60" s="483" t="s">
        <v>735</v>
      </c>
      <c r="C60" s="401"/>
      <c r="D60" s="402"/>
      <c r="F60" s="322">
        <v>0</v>
      </c>
      <c r="G60" s="322">
        <v>0</v>
      </c>
      <c r="H60" s="323">
        <v>181206</v>
      </c>
      <c r="I60" s="243">
        <v>0</v>
      </c>
      <c r="J60" s="323">
        <v>0</v>
      </c>
      <c r="K60" s="335">
        <f t="shared" si="5"/>
        <v>181206</v>
      </c>
    </row>
    <row r="61" spans="1:22" ht="18" customHeight="1" x14ac:dyDescent="0.4">
      <c r="A61" s="1" t="s">
        <v>623</v>
      </c>
      <c r="B61" s="483" t="s">
        <v>736</v>
      </c>
      <c r="C61" s="401"/>
      <c r="D61" s="402"/>
      <c r="F61" s="322">
        <v>0</v>
      </c>
      <c r="G61" s="322">
        <v>0</v>
      </c>
      <c r="H61" s="323">
        <v>229617</v>
      </c>
      <c r="I61" s="243">
        <v>0</v>
      </c>
      <c r="J61" s="323">
        <v>0</v>
      </c>
      <c r="K61" s="335">
        <f t="shared" si="5"/>
        <v>229617</v>
      </c>
    </row>
    <row r="62" spans="1:22" ht="18" customHeight="1" x14ac:dyDescent="0.4">
      <c r="A62" s="1" t="s">
        <v>100</v>
      </c>
      <c r="B62" s="483" t="s">
        <v>737</v>
      </c>
      <c r="C62" s="401"/>
      <c r="D62" s="402"/>
      <c r="F62" s="322">
        <v>0</v>
      </c>
      <c r="G62" s="322">
        <v>0</v>
      </c>
      <c r="H62" s="323">
        <v>442859</v>
      </c>
      <c r="I62" s="243">
        <v>0</v>
      </c>
      <c r="J62" s="323">
        <v>0</v>
      </c>
      <c r="K62" s="335">
        <f t="shared" si="5"/>
        <v>442859</v>
      </c>
    </row>
    <row r="63" spans="1:22" ht="18" customHeight="1" x14ac:dyDescent="0.4">
      <c r="A63" s="1"/>
      <c r="G63" s="212"/>
      <c r="H63" s="241"/>
      <c r="I63" s="501"/>
      <c r="J63" s="241"/>
      <c r="K63" s="241"/>
    </row>
    <row r="64" spans="1:22" ht="18" customHeight="1" x14ac:dyDescent="0.4">
      <c r="A64" s="1" t="s">
        <v>144</v>
      </c>
      <c r="B64" s="95" t="s">
        <v>145</v>
      </c>
      <c r="E64" s="95" t="s">
        <v>7</v>
      </c>
      <c r="F64" s="321">
        <f t="shared" ref="F64:K64" si="7">SUM(F53:F62)+SUM(N53:N58)</f>
        <v>1365</v>
      </c>
      <c r="G64" s="321">
        <f t="shared" si="7"/>
        <v>2508</v>
      </c>
      <c r="H64" s="335">
        <f t="shared" si="7"/>
        <v>14860683</v>
      </c>
      <c r="I64" s="335">
        <f t="shared" si="7"/>
        <v>0</v>
      </c>
      <c r="J64" s="335">
        <f t="shared" si="7"/>
        <v>867526</v>
      </c>
      <c r="K64" s="335">
        <f t="shared" si="7"/>
        <v>13993157</v>
      </c>
    </row>
    <row r="65" spans="1:11" ht="18" customHeight="1" x14ac:dyDescent="0.4">
      <c r="F65" s="436"/>
      <c r="G65" s="113"/>
      <c r="H65" s="113"/>
      <c r="I65" s="113"/>
      <c r="J65" s="113"/>
      <c r="K65" s="113"/>
    </row>
    <row r="66" spans="1:11" ht="42.75" customHeight="1" x14ac:dyDescent="0.4">
      <c r="F66" s="437" t="s">
        <v>9</v>
      </c>
      <c r="G66" s="99" t="s">
        <v>37</v>
      </c>
      <c r="H66" s="99" t="s">
        <v>29</v>
      </c>
      <c r="I66" s="99" t="s">
        <v>30</v>
      </c>
      <c r="J66" s="99" t="s">
        <v>33</v>
      </c>
      <c r="K66" s="99" t="s">
        <v>34</v>
      </c>
    </row>
    <row r="67" spans="1:11" ht="18" customHeight="1" x14ac:dyDescent="0.4">
      <c r="A67" s="98" t="s">
        <v>102</v>
      </c>
      <c r="B67" s="95" t="s">
        <v>12</v>
      </c>
      <c r="F67" s="438"/>
      <c r="G67" s="404"/>
      <c r="H67" s="404"/>
      <c r="I67" s="405"/>
      <c r="J67" s="404"/>
      <c r="K67" s="405"/>
    </row>
    <row r="68" spans="1:11" ht="18" customHeight="1" x14ac:dyDescent="0.4">
      <c r="A68" s="1" t="s">
        <v>103</v>
      </c>
      <c r="B68" t="s">
        <v>52</v>
      </c>
      <c r="F68" s="322"/>
      <c r="G68" s="322"/>
      <c r="H68" s="323">
        <v>936330</v>
      </c>
      <c r="I68" s="243">
        <v>0</v>
      </c>
      <c r="J68" s="323">
        <v>936330</v>
      </c>
      <c r="K68" s="335">
        <f>(H68+I68)-J68</f>
        <v>0</v>
      </c>
    </row>
    <row r="69" spans="1:11" ht="18" customHeight="1" x14ac:dyDescent="0.4">
      <c r="A69" s="1" t="s">
        <v>104</v>
      </c>
      <c r="B69" s="94" t="s">
        <v>53</v>
      </c>
      <c r="F69" s="322"/>
      <c r="G69" s="322"/>
      <c r="H69" s="323"/>
      <c r="I69" s="243">
        <v>0</v>
      </c>
      <c r="J69" s="323"/>
      <c r="K69" s="335">
        <f>(H69+I69)-J69</f>
        <v>0</v>
      </c>
    </row>
    <row r="70" spans="1:11" ht="18" customHeight="1" x14ac:dyDescent="0.4">
      <c r="A70" s="1" t="s">
        <v>178</v>
      </c>
      <c r="B70" s="502" t="s">
        <v>229</v>
      </c>
      <c r="C70" s="502"/>
      <c r="D70" s="502"/>
      <c r="E70" s="95"/>
      <c r="F70" s="440"/>
      <c r="G70" s="440"/>
      <c r="H70" s="250">
        <v>24276</v>
      </c>
      <c r="I70" s="243">
        <v>0</v>
      </c>
      <c r="J70" s="250">
        <v>24276</v>
      </c>
      <c r="K70" s="335">
        <f>(H70+I70)-J70</f>
        <v>0</v>
      </c>
    </row>
    <row r="71" spans="1:11" ht="18" customHeight="1" x14ac:dyDescent="0.4">
      <c r="A71" s="1" t="s">
        <v>179</v>
      </c>
      <c r="B71" s="503"/>
      <c r="C71" s="743"/>
      <c r="D71" s="743"/>
      <c r="E71" s="95"/>
      <c r="F71" s="440"/>
      <c r="G71" s="440"/>
      <c r="H71" s="250"/>
      <c r="I71" s="243">
        <v>0</v>
      </c>
      <c r="J71" s="250"/>
      <c r="K71" s="335">
        <f>(H71+I71)-J71</f>
        <v>0</v>
      </c>
    </row>
    <row r="72" spans="1:11" ht="18" customHeight="1" x14ac:dyDescent="0.4">
      <c r="A72" s="1" t="s">
        <v>180</v>
      </c>
      <c r="B72" s="503"/>
      <c r="C72" s="407"/>
      <c r="D72" s="408"/>
      <c r="E72" s="95"/>
      <c r="F72" s="322"/>
      <c r="G72" s="322"/>
      <c r="H72" s="323"/>
      <c r="I72" s="243">
        <v>0</v>
      </c>
      <c r="J72" s="323"/>
      <c r="K72" s="335">
        <f>(H72+I72)-J72</f>
        <v>0</v>
      </c>
    </row>
    <row r="73" spans="1:11" ht="18" customHeight="1" x14ac:dyDescent="0.4">
      <c r="A73" s="1"/>
      <c r="B73" s="94"/>
      <c r="E73" s="95"/>
      <c r="F73" s="442"/>
      <c r="G73" s="442"/>
      <c r="H73" s="251"/>
      <c r="I73" s="249"/>
      <c r="J73" s="251"/>
      <c r="K73" s="248"/>
    </row>
    <row r="74" spans="1:11" ht="18" customHeight="1" x14ac:dyDescent="0.4">
      <c r="A74" s="98" t="s">
        <v>146</v>
      </c>
      <c r="B74" s="95" t="s">
        <v>147</v>
      </c>
      <c r="E74" s="95" t="s">
        <v>7</v>
      </c>
      <c r="F74" s="324">
        <f t="shared" ref="F74:K74" si="8">SUM(F68:F72)</f>
        <v>0</v>
      </c>
      <c r="G74" s="324">
        <f t="shared" si="8"/>
        <v>0</v>
      </c>
      <c r="H74" s="325">
        <f t="shared" si="8"/>
        <v>960606</v>
      </c>
      <c r="I74" s="242">
        <f t="shared" si="8"/>
        <v>0</v>
      </c>
      <c r="J74" s="325">
        <f t="shared" si="8"/>
        <v>960606</v>
      </c>
      <c r="K74" s="325">
        <f t="shared" si="8"/>
        <v>0</v>
      </c>
    </row>
    <row r="75" spans="1:11" ht="42.75" customHeight="1" x14ac:dyDescent="0.4">
      <c r="F75" s="255"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22"/>
      <c r="G77" s="322"/>
      <c r="H77" s="323">
        <v>158195</v>
      </c>
      <c r="I77" s="243">
        <v>0</v>
      </c>
      <c r="J77" s="323">
        <v>0</v>
      </c>
      <c r="K77" s="335">
        <f>(H77+I77)-J77</f>
        <v>158195</v>
      </c>
    </row>
    <row r="78" spans="1:11" ht="18" customHeight="1" x14ac:dyDescent="0.4">
      <c r="A78" s="1" t="s">
        <v>108</v>
      </c>
      <c r="B78" s="94" t="s">
        <v>55</v>
      </c>
      <c r="F78" s="322"/>
      <c r="G78" s="322"/>
      <c r="H78" s="323">
        <v>0</v>
      </c>
      <c r="I78" s="243">
        <v>0</v>
      </c>
      <c r="J78" s="323">
        <v>0</v>
      </c>
      <c r="K78" s="335">
        <f>(H78+I78)-J78</f>
        <v>0</v>
      </c>
    </row>
    <row r="79" spans="1:11" ht="18" customHeight="1" x14ac:dyDescent="0.4">
      <c r="A79" s="1" t="s">
        <v>109</v>
      </c>
      <c r="B79" s="94" t="s">
        <v>13</v>
      </c>
      <c r="F79" s="322">
        <v>181</v>
      </c>
      <c r="G79" s="322">
        <v>3246</v>
      </c>
      <c r="H79" s="323">
        <v>15899</v>
      </c>
      <c r="I79" s="243">
        <v>0</v>
      </c>
      <c r="J79" s="323">
        <v>0</v>
      </c>
      <c r="K79" s="335">
        <f>(H79+I79)-J79</f>
        <v>15899</v>
      </c>
    </row>
    <row r="80" spans="1:11" ht="18" customHeight="1" x14ac:dyDescent="0.4">
      <c r="A80" s="1" t="s">
        <v>110</v>
      </c>
      <c r="B80" s="94" t="s">
        <v>56</v>
      </c>
      <c r="F80" s="322">
        <v>48</v>
      </c>
      <c r="G80" s="322">
        <v>740</v>
      </c>
      <c r="H80" s="323">
        <v>2981</v>
      </c>
      <c r="I80" s="243">
        <v>0</v>
      </c>
      <c r="J80" s="323">
        <v>0</v>
      </c>
      <c r="K80" s="335">
        <f>(H80+I80)-J80</f>
        <v>2981</v>
      </c>
    </row>
    <row r="81" spans="1:11" ht="18" customHeight="1" x14ac:dyDescent="0.4">
      <c r="A81" s="1"/>
      <c r="G81" s="212"/>
      <c r="H81" s="241"/>
      <c r="I81" s="241"/>
      <c r="J81" s="241"/>
      <c r="K81" s="339"/>
    </row>
    <row r="82" spans="1:11" ht="18" customHeight="1" x14ac:dyDescent="0.4">
      <c r="A82" s="1" t="s">
        <v>148</v>
      </c>
      <c r="B82" s="95" t="s">
        <v>149</v>
      </c>
      <c r="E82" s="95" t="s">
        <v>7</v>
      </c>
      <c r="F82" s="324">
        <f t="shared" ref="F82:G82" si="9">SUM(F77:F80)</f>
        <v>229</v>
      </c>
      <c r="G82" s="324">
        <f t="shared" si="9"/>
        <v>3986</v>
      </c>
      <c r="H82" s="325">
        <f>SUM(H77:H80)</f>
        <v>177075</v>
      </c>
      <c r="I82" s="325">
        <f>SUM(I77:I80)</f>
        <v>0</v>
      </c>
      <c r="J82" s="325">
        <f>SUM(J77:J80)</f>
        <v>0</v>
      </c>
      <c r="K82" s="325">
        <f>SUM(K77:K80)</f>
        <v>177075</v>
      </c>
    </row>
    <row r="83" spans="1:11" ht="18" customHeight="1" thickBot="1" x14ac:dyDescent="0.45">
      <c r="A83" s="1"/>
      <c r="F83" s="434"/>
      <c r="G83" s="103"/>
      <c r="H83" s="103"/>
      <c r="I83" s="103"/>
      <c r="J83" s="103"/>
      <c r="K83" s="103"/>
    </row>
    <row r="84" spans="1:11" ht="42.75" customHeight="1" x14ac:dyDescent="0.4">
      <c r="F84" s="255"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22">
        <v>0</v>
      </c>
      <c r="G86" s="322">
        <v>0</v>
      </c>
      <c r="H86" s="323"/>
      <c r="I86" s="243"/>
      <c r="J86" s="323"/>
      <c r="K86" s="335">
        <f t="shared" ref="K86:K96" si="10">(H86+I86)-J86</f>
        <v>0</v>
      </c>
    </row>
    <row r="87" spans="1:11" ht="18" customHeight="1" x14ac:dyDescent="0.4">
      <c r="A87" s="1" t="s">
        <v>114</v>
      </c>
      <c r="B87" s="94" t="s">
        <v>14</v>
      </c>
      <c r="F87" s="322">
        <v>4</v>
      </c>
      <c r="G87" s="322">
        <v>741</v>
      </c>
      <c r="H87" s="323">
        <v>728</v>
      </c>
      <c r="I87" s="243">
        <f t="shared" ref="I87:I96" si="11">H87*F$114</f>
        <v>491.40000000000003</v>
      </c>
      <c r="J87" s="323"/>
      <c r="K87" s="335">
        <f t="shared" si="10"/>
        <v>1219.4000000000001</v>
      </c>
    </row>
    <row r="88" spans="1:11" ht="18" customHeight="1" x14ac:dyDescent="0.4">
      <c r="A88" s="1" t="s">
        <v>115</v>
      </c>
      <c r="B88" s="94" t="s">
        <v>116</v>
      </c>
      <c r="F88" s="322">
        <v>967.5</v>
      </c>
      <c r="G88" s="322">
        <v>798</v>
      </c>
      <c r="H88" s="323">
        <v>81763</v>
      </c>
      <c r="I88" s="243">
        <f t="shared" si="11"/>
        <v>55190.025000000001</v>
      </c>
      <c r="J88" s="323">
        <v>13757</v>
      </c>
      <c r="K88" s="335">
        <f t="shared" si="10"/>
        <v>123196.02499999999</v>
      </c>
    </row>
    <row r="89" spans="1:11" ht="18" customHeight="1" x14ac:dyDescent="0.4">
      <c r="A89" s="1" t="s">
        <v>117</v>
      </c>
      <c r="B89" s="94" t="s">
        <v>58</v>
      </c>
      <c r="F89" s="322">
        <v>0</v>
      </c>
      <c r="G89" s="322">
        <v>0</v>
      </c>
      <c r="H89" s="323">
        <v>125801</v>
      </c>
      <c r="I89" s="243">
        <f t="shared" si="11"/>
        <v>84915.675000000003</v>
      </c>
      <c r="J89" s="323">
        <v>0</v>
      </c>
      <c r="K89" s="335">
        <f t="shared" si="10"/>
        <v>210716.67499999999</v>
      </c>
    </row>
    <row r="90" spans="1:11" ht="18" customHeight="1" x14ac:dyDescent="0.4">
      <c r="A90" s="1" t="s">
        <v>118</v>
      </c>
      <c r="B90" s="635" t="s">
        <v>59</v>
      </c>
      <c r="C90" s="636"/>
      <c r="F90" s="322">
        <v>0</v>
      </c>
      <c r="G90" s="322">
        <v>0</v>
      </c>
      <c r="H90" s="323">
        <v>0</v>
      </c>
      <c r="I90" s="243">
        <f t="shared" si="11"/>
        <v>0</v>
      </c>
      <c r="J90" s="323"/>
      <c r="K90" s="335">
        <f t="shared" si="10"/>
        <v>0</v>
      </c>
    </row>
    <row r="91" spans="1:11" ht="18" customHeight="1" x14ac:dyDescent="0.4">
      <c r="A91" s="1" t="s">
        <v>119</v>
      </c>
      <c r="B91" s="94" t="s">
        <v>60</v>
      </c>
      <c r="F91" s="322">
        <v>1100</v>
      </c>
      <c r="G91" s="322">
        <v>3762</v>
      </c>
      <c r="H91" s="323">
        <v>96043</v>
      </c>
      <c r="I91" s="243">
        <f t="shared" si="11"/>
        <v>64829.025000000001</v>
      </c>
      <c r="J91" s="323">
        <v>13757</v>
      </c>
      <c r="K91" s="335">
        <f t="shared" si="10"/>
        <v>147115.02499999999</v>
      </c>
    </row>
    <row r="92" spans="1:11" ht="18" customHeight="1" x14ac:dyDescent="0.4">
      <c r="A92" s="1" t="s">
        <v>120</v>
      </c>
      <c r="B92" s="94" t="s">
        <v>121</v>
      </c>
      <c r="F92" s="504">
        <v>2</v>
      </c>
      <c r="G92" s="504">
        <v>82</v>
      </c>
      <c r="H92" s="505">
        <v>364</v>
      </c>
      <c r="I92" s="243">
        <f t="shared" si="11"/>
        <v>245.70000000000002</v>
      </c>
      <c r="J92" s="505"/>
      <c r="K92" s="335">
        <f t="shared" si="10"/>
        <v>609.70000000000005</v>
      </c>
    </row>
    <row r="93" spans="1:11" ht="18" customHeight="1" x14ac:dyDescent="0.4">
      <c r="A93" s="1" t="s">
        <v>122</v>
      </c>
      <c r="B93" s="94" t="s">
        <v>123</v>
      </c>
      <c r="F93" s="322">
        <v>435.5</v>
      </c>
      <c r="G93" s="322">
        <v>1473</v>
      </c>
      <c r="H93" s="323">
        <v>124942</v>
      </c>
      <c r="I93" s="243">
        <f t="shared" si="11"/>
        <v>84335.85</v>
      </c>
      <c r="J93" s="323">
        <v>0</v>
      </c>
      <c r="K93" s="335">
        <f t="shared" si="10"/>
        <v>209277.85</v>
      </c>
    </row>
    <row r="94" spans="1:11" ht="18" customHeight="1" x14ac:dyDescent="0.4">
      <c r="A94" s="1" t="s">
        <v>124</v>
      </c>
      <c r="B94" s="655"/>
      <c r="C94" s="653"/>
      <c r="D94" s="654"/>
      <c r="F94" s="322"/>
      <c r="G94" s="322"/>
      <c r="H94" s="323"/>
      <c r="I94" s="243">
        <f t="shared" si="11"/>
        <v>0</v>
      </c>
      <c r="J94" s="323"/>
      <c r="K94" s="335">
        <f t="shared" si="10"/>
        <v>0</v>
      </c>
    </row>
    <row r="95" spans="1:11" ht="18" customHeight="1" x14ac:dyDescent="0.4">
      <c r="A95" s="1" t="s">
        <v>125</v>
      </c>
      <c r="B95" s="655"/>
      <c r="C95" s="653"/>
      <c r="D95" s="654"/>
      <c r="F95" s="322"/>
      <c r="G95" s="322"/>
      <c r="H95" s="323"/>
      <c r="I95" s="243">
        <f t="shared" si="11"/>
        <v>0</v>
      </c>
      <c r="J95" s="323"/>
      <c r="K95" s="335">
        <f t="shared" si="10"/>
        <v>0</v>
      </c>
    </row>
    <row r="96" spans="1:11" ht="18" customHeight="1" x14ac:dyDescent="0.4">
      <c r="A96" s="1" t="s">
        <v>126</v>
      </c>
      <c r="B96" s="655"/>
      <c r="C96" s="653"/>
      <c r="D96" s="654"/>
      <c r="F96" s="322"/>
      <c r="G96" s="322"/>
      <c r="H96" s="323"/>
      <c r="I96" s="243">
        <f t="shared" si="11"/>
        <v>0</v>
      </c>
      <c r="J96" s="323"/>
      <c r="K96" s="335">
        <f t="shared" si="10"/>
        <v>0</v>
      </c>
    </row>
    <row r="97" spans="1:11" ht="18" customHeight="1" x14ac:dyDescent="0.4">
      <c r="A97" s="1"/>
      <c r="B97" s="94"/>
      <c r="G97" s="212"/>
      <c r="H97" s="241"/>
      <c r="I97" s="241"/>
      <c r="J97" s="241"/>
      <c r="K97" s="241"/>
    </row>
    <row r="98" spans="1:11" ht="18" customHeight="1" x14ac:dyDescent="0.4">
      <c r="A98" s="98" t="s">
        <v>150</v>
      </c>
      <c r="B98" s="95" t="s">
        <v>151</v>
      </c>
      <c r="E98" s="95" t="s">
        <v>7</v>
      </c>
      <c r="F98" s="321">
        <f t="shared" ref="F98:K98" si="12">SUM(F86:F96)</f>
        <v>2509</v>
      </c>
      <c r="G98" s="321">
        <f t="shared" si="12"/>
        <v>6856</v>
      </c>
      <c r="H98" s="335">
        <f t="shared" si="12"/>
        <v>429641</v>
      </c>
      <c r="I98" s="335">
        <f t="shared" si="12"/>
        <v>290007.67500000005</v>
      </c>
      <c r="J98" s="335">
        <f t="shared" si="12"/>
        <v>27514</v>
      </c>
      <c r="K98" s="335">
        <f t="shared" si="12"/>
        <v>692134.67500000005</v>
      </c>
    </row>
    <row r="99" spans="1:11" ht="18" customHeight="1" thickBot="1" x14ac:dyDescent="0.45">
      <c r="B99" s="95"/>
      <c r="F99" s="434"/>
      <c r="G99" s="103"/>
      <c r="H99" s="103"/>
      <c r="I99" s="103"/>
      <c r="J99" s="103"/>
      <c r="K99" s="103"/>
    </row>
    <row r="100" spans="1:11" ht="42.75" customHeight="1" x14ac:dyDescent="0.4">
      <c r="F100" s="255"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22">
        <v>1132</v>
      </c>
      <c r="G102" s="322">
        <v>0</v>
      </c>
      <c r="H102" s="323">
        <v>103679</v>
      </c>
      <c r="I102" s="243">
        <f>H102*F$114</f>
        <v>69983.325000000012</v>
      </c>
      <c r="J102" s="323">
        <v>22012</v>
      </c>
      <c r="K102" s="335">
        <f>(H102+I102)-J102</f>
        <v>151650.32500000001</v>
      </c>
    </row>
    <row r="103" spans="1:11" ht="18" customHeight="1" x14ac:dyDescent="0.4">
      <c r="A103" s="1" t="s">
        <v>132</v>
      </c>
      <c r="B103" s="635" t="s">
        <v>62</v>
      </c>
      <c r="C103" s="635"/>
      <c r="F103" s="322">
        <v>520</v>
      </c>
      <c r="G103" s="322">
        <v>75</v>
      </c>
      <c r="H103" s="323">
        <v>46600</v>
      </c>
      <c r="I103" s="243">
        <f>H103*F$114</f>
        <v>31455.000000000004</v>
      </c>
      <c r="J103" s="323">
        <v>13575</v>
      </c>
      <c r="K103" s="335">
        <f>(H103+I103)-J103</f>
        <v>64480</v>
      </c>
    </row>
    <row r="104" spans="1:11" ht="18" customHeight="1" x14ac:dyDescent="0.4">
      <c r="A104" s="1" t="s">
        <v>128</v>
      </c>
      <c r="B104" s="655"/>
      <c r="C104" s="653"/>
      <c r="D104" s="654"/>
      <c r="F104" s="322"/>
      <c r="G104" s="322"/>
      <c r="H104" s="323"/>
      <c r="I104" s="243">
        <f>H104*F$114</f>
        <v>0</v>
      </c>
      <c r="J104" s="323"/>
      <c r="K104" s="335">
        <f>(H104+I104)-J104</f>
        <v>0</v>
      </c>
    </row>
    <row r="105" spans="1:11" ht="18" customHeight="1" x14ac:dyDescent="0.4">
      <c r="A105" s="1" t="s">
        <v>127</v>
      </c>
      <c r="B105" s="655"/>
      <c r="C105" s="653"/>
      <c r="D105" s="654"/>
      <c r="F105" s="322"/>
      <c r="G105" s="322"/>
      <c r="H105" s="323"/>
      <c r="I105" s="243">
        <f>H105*F$114</f>
        <v>0</v>
      </c>
      <c r="J105" s="323"/>
      <c r="K105" s="335">
        <f>(H105+I105)-J105</f>
        <v>0</v>
      </c>
    </row>
    <row r="106" spans="1:11" ht="18" customHeight="1" x14ac:dyDescent="0.4">
      <c r="A106" s="1" t="s">
        <v>129</v>
      </c>
      <c r="B106" s="655"/>
      <c r="C106" s="653"/>
      <c r="D106" s="654"/>
      <c r="F106" s="322"/>
      <c r="G106" s="322"/>
      <c r="H106" s="323"/>
      <c r="I106" s="243">
        <f>H106*F$114</f>
        <v>0</v>
      </c>
      <c r="J106" s="323"/>
      <c r="K106" s="335">
        <f>(H106+I106)-J106</f>
        <v>0</v>
      </c>
    </row>
    <row r="107" spans="1:11" ht="18" customHeight="1" x14ac:dyDescent="0.4">
      <c r="B107" s="95"/>
      <c r="G107" s="212"/>
      <c r="H107" s="241"/>
      <c r="I107" s="241"/>
      <c r="J107" s="241"/>
      <c r="K107" s="241"/>
    </row>
    <row r="108" spans="1:11" ht="18" customHeight="1" x14ac:dyDescent="0.4">
      <c r="A108" s="98" t="s">
        <v>153</v>
      </c>
      <c r="B108" s="95" t="s">
        <v>154</v>
      </c>
      <c r="E108" s="95" t="s">
        <v>7</v>
      </c>
      <c r="F108" s="321">
        <f t="shared" ref="F108:K108" si="13">SUM(F102:F106)</f>
        <v>1652</v>
      </c>
      <c r="G108" s="321">
        <f t="shared" si="13"/>
        <v>75</v>
      </c>
      <c r="H108" s="335">
        <f t="shared" si="13"/>
        <v>150279</v>
      </c>
      <c r="I108" s="335">
        <f t="shared" si="13"/>
        <v>101438.32500000001</v>
      </c>
      <c r="J108" s="335">
        <f t="shared" si="13"/>
        <v>35587</v>
      </c>
      <c r="K108" s="335">
        <f t="shared" si="13"/>
        <v>216130.32500000001</v>
      </c>
    </row>
    <row r="109" spans="1:11" ht="18" customHeight="1" thickBot="1" x14ac:dyDescent="0.45">
      <c r="A109" s="100"/>
      <c r="B109" s="101"/>
      <c r="C109" s="102"/>
      <c r="D109" s="102"/>
      <c r="E109" s="102"/>
      <c r="F109" s="434"/>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23">
        <v>4769000</v>
      </c>
    </row>
    <row r="112" spans="1:11" ht="18" customHeight="1" x14ac:dyDescent="0.4">
      <c r="B112" s="95"/>
      <c r="E112" s="95"/>
      <c r="F112" s="452"/>
    </row>
    <row r="113" spans="1:6" ht="18" customHeight="1" x14ac:dyDescent="0.4">
      <c r="A113" s="98"/>
      <c r="B113" s="95" t="s">
        <v>15</v>
      </c>
    </row>
    <row r="114" spans="1:6" ht="18" customHeight="1" x14ac:dyDescent="0.4">
      <c r="A114" s="1" t="s">
        <v>171</v>
      </c>
      <c r="B114" s="94" t="s">
        <v>35</v>
      </c>
      <c r="F114" s="350">
        <v>0.67500000000000004</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23">
        <v>275202000</v>
      </c>
    </row>
    <row r="118" spans="1:6" ht="18" customHeight="1" x14ac:dyDescent="0.4">
      <c r="A118" s="1" t="s">
        <v>173</v>
      </c>
      <c r="B118" t="s">
        <v>18</v>
      </c>
      <c r="F118" s="323">
        <v>39975000</v>
      </c>
    </row>
    <row r="119" spans="1:6" ht="18" customHeight="1" x14ac:dyDescent="0.4">
      <c r="A119" s="1" t="s">
        <v>174</v>
      </c>
      <c r="B119" s="95" t="s">
        <v>19</v>
      </c>
      <c r="F119" s="325">
        <f>SUM(F117:F118)</f>
        <v>315177000</v>
      </c>
    </row>
    <row r="120" spans="1:6" ht="18" customHeight="1" x14ac:dyDescent="0.4">
      <c r="A120" s="1"/>
      <c r="B120" s="95"/>
      <c r="F120" s="241"/>
    </row>
    <row r="121" spans="1:6" ht="18" customHeight="1" x14ac:dyDescent="0.4">
      <c r="A121" s="1" t="s">
        <v>167</v>
      </c>
      <c r="B121" s="95" t="s">
        <v>36</v>
      </c>
      <c r="F121" s="323">
        <v>311199000</v>
      </c>
    </row>
    <row r="122" spans="1:6" ht="18" customHeight="1" x14ac:dyDescent="0.4">
      <c r="A122" s="1"/>
      <c r="F122" s="241"/>
    </row>
    <row r="123" spans="1:6" ht="18" customHeight="1" x14ac:dyDescent="0.4">
      <c r="A123" s="1" t="s">
        <v>175</v>
      </c>
      <c r="B123" s="95" t="s">
        <v>20</v>
      </c>
      <c r="F123" s="323">
        <f>F119-F121</f>
        <v>3978000</v>
      </c>
    </row>
    <row r="124" spans="1:6" ht="18" customHeight="1" x14ac:dyDescent="0.4">
      <c r="A124" s="1"/>
      <c r="F124" s="241"/>
    </row>
    <row r="125" spans="1:6" ht="18" customHeight="1" x14ac:dyDescent="0.4">
      <c r="A125" s="1" t="s">
        <v>176</v>
      </c>
      <c r="B125" s="95" t="s">
        <v>21</v>
      </c>
      <c r="F125" s="323">
        <v>609000</v>
      </c>
    </row>
    <row r="126" spans="1:6" ht="18" customHeight="1" x14ac:dyDescent="0.4">
      <c r="A126" s="1"/>
      <c r="F126" s="241"/>
    </row>
    <row r="127" spans="1:6" ht="18" customHeight="1" x14ac:dyDescent="0.4">
      <c r="A127" s="1" t="s">
        <v>177</v>
      </c>
      <c r="B127" s="95" t="s">
        <v>22</v>
      </c>
      <c r="F127" s="323">
        <v>4914000</v>
      </c>
    </row>
    <row r="128" spans="1:6" ht="18" customHeight="1" x14ac:dyDescent="0.4">
      <c r="A128" s="1"/>
    </row>
    <row r="129" spans="1:11" ht="42.75" customHeight="1" x14ac:dyDescent="0.4">
      <c r="F129" s="255"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22">
        <v>160.5</v>
      </c>
      <c r="G131" s="322">
        <v>876</v>
      </c>
      <c r="H131" s="323">
        <v>63494</v>
      </c>
      <c r="I131" s="243">
        <v>0</v>
      </c>
      <c r="J131" s="323">
        <v>0</v>
      </c>
      <c r="K131" s="335">
        <f>(H131+I131)-J131</f>
        <v>63494</v>
      </c>
    </row>
    <row r="132" spans="1:11" ht="18" customHeight="1" x14ac:dyDescent="0.4">
      <c r="A132" s="1" t="s">
        <v>159</v>
      </c>
      <c r="B132" t="s">
        <v>25</v>
      </c>
      <c r="F132" s="322">
        <v>0</v>
      </c>
      <c r="G132" s="322">
        <v>0</v>
      </c>
      <c r="H132" s="323">
        <v>205065</v>
      </c>
      <c r="I132" s="243">
        <v>0</v>
      </c>
      <c r="J132" s="323">
        <v>0</v>
      </c>
      <c r="K132" s="335">
        <f>(H132+I132)-J132</f>
        <v>205065</v>
      </c>
    </row>
    <row r="133" spans="1:11" ht="18" customHeight="1" x14ac:dyDescent="0.4">
      <c r="A133" s="1" t="s">
        <v>160</v>
      </c>
      <c r="B133" s="630"/>
      <c r="C133" s="631"/>
      <c r="D133" s="632"/>
      <c r="F133" s="322"/>
      <c r="G133" s="322"/>
      <c r="H133" s="323"/>
      <c r="I133" s="243">
        <v>0</v>
      </c>
      <c r="J133" s="323"/>
      <c r="K133" s="335">
        <f>(H133+I133)-J133</f>
        <v>0</v>
      </c>
    </row>
    <row r="134" spans="1:11" ht="18" customHeight="1" x14ac:dyDescent="0.4">
      <c r="A134" s="1" t="s">
        <v>161</v>
      </c>
      <c r="B134" s="630"/>
      <c r="C134" s="631"/>
      <c r="D134" s="632"/>
      <c r="F134" s="322"/>
      <c r="G134" s="322"/>
      <c r="H134" s="323"/>
      <c r="I134" s="243">
        <v>0</v>
      </c>
      <c r="J134" s="323"/>
      <c r="K134" s="335">
        <f>(H134+I134)-J134</f>
        <v>0</v>
      </c>
    </row>
    <row r="135" spans="1:11" ht="18" customHeight="1" x14ac:dyDescent="0.4">
      <c r="A135" s="1" t="s">
        <v>162</v>
      </c>
      <c r="B135" s="630"/>
      <c r="C135" s="631"/>
      <c r="D135" s="632"/>
      <c r="F135" s="322"/>
      <c r="G135" s="322"/>
      <c r="H135" s="323"/>
      <c r="I135" s="243">
        <v>0</v>
      </c>
      <c r="J135" s="323"/>
      <c r="K135" s="335">
        <f>(H135+I135)-J135</f>
        <v>0</v>
      </c>
    </row>
    <row r="136" spans="1:11" ht="18" customHeight="1" x14ac:dyDescent="0.4">
      <c r="A136" s="98"/>
      <c r="G136" s="212"/>
      <c r="H136" s="241"/>
      <c r="I136" s="241"/>
      <c r="J136" s="241"/>
      <c r="K136" s="241"/>
    </row>
    <row r="137" spans="1:11" ht="18" customHeight="1" x14ac:dyDescent="0.4">
      <c r="A137" s="98" t="s">
        <v>163</v>
      </c>
      <c r="B137" s="95" t="s">
        <v>27</v>
      </c>
      <c r="F137" s="321">
        <f t="shared" ref="F137:K137" si="14">SUM(F131:F135)</f>
        <v>160.5</v>
      </c>
      <c r="G137" s="321">
        <f t="shared" si="14"/>
        <v>876</v>
      </c>
      <c r="H137" s="335">
        <f t="shared" si="14"/>
        <v>268559</v>
      </c>
      <c r="I137" s="335">
        <f t="shared" si="14"/>
        <v>0</v>
      </c>
      <c r="J137" s="335">
        <f t="shared" si="14"/>
        <v>0</v>
      </c>
      <c r="K137" s="335">
        <f t="shared" si="14"/>
        <v>268559</v>
      </c>
    </row>
    <row r="138" spans="1:11" ht="18" customHeight="1" x14ac:dyDescent="0.4">
      <c r="A138"/>
    </row>
    <row r="139" spans="1:11" ht="42.75" customHeight="1" x14ac:dyDescent="0.4">
      <c r="F139" s="255"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369">
        <f t="shared" ref="F141:K141" si="15">F36</f>
        <v>31425</v>
      </c>
      <c r="G141" s="369">
        <f t="shared" si="15"/>
        <v>72722</v>
      </c>
      <c r="H141" s="252">
        <f t="shared" si="15"/>
        <v>2983428</v>
      </c>
      <c r="I141" s="252">
        <f t="shared" si="15"/>
        <v>2013813.9000000001</v>
      </c>
      <c r="J141" s="252">
        <f t="shared" si="15"/>
        <v>200351</v>
      </c>
      <c r="K141" s="252">
        <f t="shared" si="15"/>
        <v>4796890.9000000004</v>
      </c>
    </row>
    <row r="142" spans="1:11" ht="18" customHeight="1" x14ac:dyDescent="0.4">
      <c r="A142" s="1" t="s">
        <v>142</v>
      </c>
      <c r="B142" s="95" t="s">
        <v>65</v>
      </c>
      <c r="F142" s="369">
        <f t="shared" ref="F142:K142" si="16">F49</f>
        <v>34416.5</v>
      </c>
      <c r="G142" s="369">
        <f t="shared" si="16"/>
        <v>1103</v>
      </c>
      <c r="H142" s="252">
        <f t="shared" si="16"/>
        <v>2559360</v>
      </c>
      <c r="I142" s="252">
        <f t="shared" si="16"/>
        <v>1727568.0000000005</v>
      </c>
      <c r="J142" s="252">
        <f t="shared" si="16"/>
        <v>5503</v>
      </c>
      <c r="K142" s="252">
        <f t="shared" si="16"/>
        <v>4281425</v>
      </c>
    </row>
    <row r="143" spans="1:11" ht="18" customHeight="1" x14ac:dyDescent="0.4">
      <c r="A143" s="1" t="s">
        <v>144</v>
      </c>
      <c r="B143" s="95" t="s">
        <v>66</v>
      </c>
      <c r="F143" s="369">
        <f t="shared" ref="F143:K143" si="17">F64</f>
        <v>1365</v>
      </c>
      <c r="G143" s="369">
        <f t="shared" si="17"/>
        <v>2508</v>
      </c>
      <c r="H143" s="252">
        <f t="shared" si="17"/>
        <v>14860683</v>
      </c>
      <c r="I143" s="252">
        <f t="shared" si="17"/>
        <v>0</v>
      </c>
      <c r="J143" s="252">
        <f t="shared" si="17"/>
        <v>867526</v>
      </c>
      <c r="K143" s="252">
        <f t="shared" si="17"/>
        <v>13993157</v>
      </c>
    </row>
    <row r="144" spans="1:11" ht="18" customHeight="1" x14ac:dyDescent="0.4">
      <c r="A144" s="1" t="s">
        <v>146</v>
      </c>
      <c r="B144" s="95" t="s">
        <v>67</v>
      </c>
      <c r="F144" s="369">
        <f t="shared" ref="F144:K144" si="18">F74</f>
        <v>0</v>
      </c>
      <c r="G144" s="369">
        <f t="shared" si="18"/>
        <v>0</v>
      </c>
      <c r="H144" s="252">
        <f t="shared" si="18"/>
        <v>960606</v>
      </c>
      <c r="I144" s="252">
        <f t="shared" si="18"/>
        <v>0</v>
      </c>
      <c r="J144" s="252">
        <f t="shared" si="18"/>
        <v>960606</v>
      </c>
      <c r="K144" s="252">
        <f t="shared" si="18"/>
        <v>0</v>
      </c>
    </row>
    <row r="145" spans="1:11" ht="18" customHeight="1" x14ac:dyDescent="0.4">
      <c r="A145" s="1" t="s">
        <v>148</v>
      </c>
      <c r="B145" s="95" t="s">
        <v>68</v>
      </c>
      <c r="F145" s="369">
        <f t="shared" ref="F145:K145" si="19">F82</f>
        <v>229</v>
      </c>
      <c r="G145" s="369">
        <f t="shared" si="19"/>
        <v>3986</v>
      </c>
      <c r="H145" s="252">
        <f t="shared" si="19"/>
        <v>177075</v>
      </c>
      <c r="I145" s="252">
        <f t="shared" si="19"/>
        <v>0</v>
      </c>
      <c r="J145" s="252">
        <f t="shared" si="19"/>
        <v>0</v>
      </c>
      <c r="K145" s="252">
        <f t="shared" si="19"/>
        <v>177075</v>
      </c>
    </row>
    <row r="146" spans="1:11" ht="18" customHeight="1" x14ac:dyDescent="0.4">
      <c r="A146" s="1" t="s">
        <v>150</v>
      </c>
      <c r="B146" s="95" t="s">
        <v>69</v>
      </c>
      <c r="F146" s="369">
        <f t="shared" ref="F146:K146" si="20">F98</f>
        <v>2509</v>
      </c>
      <c r="G146" s="369">
        <f t="shared" si="20"/>
        <v>6856</v>
      </c>
      <c r="H146" s="252">
        <f t="shared" si="20"/>
        <v>429641</v>
      </c>
      <c r="I146" s="252">
        <f t="shared" si="20"/>
        <v>290007.67500000005</v>
      </c>
      <c r="J146" s="252">
        <f t="shared" si="20"/>
        <v>27514</v>
      </c>
      <c r="K146" s="252">
        <f t="shared" si="20"/>
        <v>692134.67500000005</v>
      </c>
    </row>
    <row r="147" spans="1:11" ht="18" customHeight="1" x14ac:dyDescent="0.4">
      <c r="A147" s="1" t="s">
        <v>153</v>
      </c>
      <c r="B147" s="95" t="s">
        <v>61</v>
      </c>
      <c r="F147" s="321">
        <f t="shared" ref="F147:K147" si="21">F108</f>
        <v>1652</v>
      </c>
      <c r="G147" s="321">
        <f t="shared" si="21"/>
        <v>75</v>
      </c>
      <c r="H147" s="335">
        <f t="shared" si="21"/>
        <v>150279</v>
      </c>
      <c r="I147" s="335">
        <f t="shared" si="21"/>
        <v>101438.32500000001</v>
      </c>
      <c r="J147" s="335">
        <f t="shared" si="21"/>
        <v>35587</v>
      </c>
      <c r="K147" s="335">
        <f t="shared" si="21"/>
        <v>216130.32500000001</v>
      </c>
    </row>
    <row r="148" spans="1:11" ht="18" customHeight="1" x14ac:dyDescent="0.4">
      <c r="A148" s="1" t="s">
        <v>155</v>
      </c>
      <c r="B148" s="95" t="s">
        <v>70</v>
      </c>
      <c r="F148" s="506" t="s">
        <v>73</v>
      </c>
      <c r="G148" s="507" t="s">
        <v>73</v>
      </c>
      <c r="H148" s="508" t="s">
        <v>73</v>
      </c>
      <c r="I148" s="508" t="s">
        <v>73</v>
      </c>
      <c r="J148" s="508" t="s">
        <v>73</v>
      </c>
      <c r="K148" s="252">
        <f>F111</f>
        <v>4769000</v>
      </c>
    </row>
    <row r="149" spans="1:11" ht="18" customHeight="1" x14ac:dyDescent="0.4">
      <c r="A149" s="1" t="s">
        <v>163</v>
      </c>
      <c r="B149" s="95" t="s">
        <v>71</v>
      </c>
      <c r="F149" s="321">
        <f t="shared" ref="F149:K149" si="22">F137</f>
        <v>160.5</v>
      </c>
      <c r="G149" s="321">
        <f t="shared" si="22"/>
        <v>876</v>
      </c>
      <c r="H149" s="335">
        <f t="shared" si="22"/>
        <v>268559</v>
      </c>
      <c r="I149" s="335">
        <f t="shared" si="22"/>
        <v>0</v>
      </c>
      <c r="J149" s="335">
        <f t="shared" si="22"/>
        <v>0</v>
      </c>
      <c r="K149" s="335">
        <f t="shared" si="22"/>
        <v>268559</v>
      </c>
    </row>
    <row r="150" spans="1:11" ht="18" customHeight="1" x14ac:dyDescent="0.4">
      <c r="A150" s="1" t="s">
        <v>185</v>
      </c>
      <c r="B150" s="95" t="s">
        <v>183</v>
      </c>
      <c r="F150" s="506" t="s">
        <v>73</v>
      </c>
      <c r="G150" s="507" t="s">
        <v>73</v>
      </c>
      <c r="H150" s="335">
        <f>H18</f>
        <v>6526438.3399999999</v>
      </c>
      <c r="I150" s="335">
        <f>I18</f>
        <v>0</v>
      </c>
      <c r="J150" s="335">
        <f>J18</f>
        <v>5408917.2999999998</v>
      </c>
      <c r="K150" s="335">
        <f>K18</f>
        <v>1117521.04</v>
      </c>
    </row>
    <row r="151" spans="1:11" ht="18" customHeight="1" x14ac:dyDescent="0.4">
      <c r="B151" s="95"/>
      <c r="F151" s="436"/>
      <c r="G151" s="113"/>
      <c r="H151" s="246"/>
      <c r="I151" s="246"/>
      <c r="J151" s="246"/>
      <c r="K151" s="246"/>
    </row>
    <row r="152" spans="1:11" ht="18" customHeight="1" x14ac:dyDescent="0.4">
      <c r="A152" s="98" t="s">
        <v>165</v>
      </c>
      <c r="B152" s="95" t="s">
        <v>26</v>
      </c>
      <c r="F152" s="460">
        <f t="shared" ref="F152:K152" si="23">SUM(F141:F150)</f>
        <v>71757</v>
      </c>
      <c r="G152" s="460">
        <f t="shared" si="23"/>
        <v>88126</v>
      </c>
      <c r="H152" s="253">
        <f t="shared" si="23"/>
        <v>28916069.34</v>
      </c>
      <c r="I152" s="253">
        <f t="shared" si="23"/>
        <v>4132827.9000000004</v>
      </c>
      <c r="J152" s="253">
        <f t="shared" si="23"/>
        <v>7506004.2999999998</v>
      </c>
      <c r="K152" s="253">
        <f t="shared" si="23"/>
        <v>30311892.939999998</v>
      </c>
    </row>
    <row r="154" spans="1:11" ht="18" customHeight="1" x14ac:dyDescent="0.4">
      <c r="A154" s="98" t="s">
        <v>168</v>
      </c>
      <c r="B154" s="95" t="s">
        <v>28</v>
      </c>
      <c r="F154" s="318">
        <f>K152/F121</f>
        <v>9.740356794205636E-2</v>
      </c>
    </row>
    <row r="155" spans="1:11" ht="18" customHeight="1" x14ac:dyDescent="0.4">
      <c r="A155" s="98" t="s">
        <v>169</v>
      </c>
      <c r="B155" s="95" t="s">
        <v>72</v>
      </c>
      <c r="F155" s="509">
        <f>K152/F127</f>
        <v>6.1684763817663812</v>
      </c>
      <c r="G155" s="95"/>
    </row>
    <row r="156" spans="1:11" ht="18" customHeight="1" x14ac:dyDescent="0.4">
      <c r="G156" s="95"/>
    </row>
  </sheetData>
  <mergeCells count="35">
    <mergeCell ref="M52:N52"/>
    <mergeCell ref="C71:D71"/>
    <mergeCell ref="B106:D106"/>
    <mergeCell ref="B30:D30"/>
    <mergeCell ref="B13:H13"/>
    <mergeCell ref="B31:D31"/>
    <mergeCell ref="B34:D34"/>
    <mergeCell ref="B53:D53"/>
    <mergeCell ref="B55:D55"/>
    <mergeCell ref="B56:D56"/>
    <mergeCell ref="B57:D57"/>
    <mergeCell ref="B59:D59"/>
    <mergeCell ref="B41:C41"/>
    <mergeCell ref="B44:D44"/>
    <mergeCell ref="D2:H2"/>
    <mergeCell ref="C11:G11"/>
    <mergeCell ref="C5:G5"/>
    <mergeCell ref="C6:G6"/>
    <mergeCell ref="C7:G7"/>
    <mergeCell ref="C9:G9"/>
    <mergeCell ref="C10:G10"/>
    <mergeCell ref="B134:D134"/>
    <mergeCell ref="B135:D135"/>
    <mergeCell ref="B45:D45"/>
    <mergeCell ref="B46:D46"/>
    <mergeCell ref="B47:D47"/>
    <mergeCell ref="B52:C52"/>
    <mergeCell ref="B133:D133"/>
    <mergeCell ref="B90:C90"/>
    <mergeCell ref="B103:C103"/>
    <mergeCell ref="B104:D104"/>
    <mergeCell ref="B94:D94"/>
    <mergeCell ref="B95:D95"/>
    <mergeCell ref="B96:D96"/>
    <mergeCell ref="B105:D105"/>
  </mergeCells>
  <printOptions headings="1" gridLines="1"/>
  <pageMargins left="0.17" right="0.16" top="0.35" bottom="0.32" header="0.17" footer="0.17"/>
  <pageSetup scale="64" fitToHeight="4" orientation="landscape" r:id="rId1"/>
  <headerFooter alignWithMargins="0">
    <oddFooter>&amp;L&amp;Z&amp;F.xls&amp;C&amp;P of &amp;N&amp;R&amp;D</oddFooter>
  </headerFooter>
  <rowBreaks count="2" manualBreakCount="2">
    <brk id="35" max="10" man="1"/>
    <brk id="118"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theme="0"/>
  </sheetPr>
  <dimension ref="A1:K156"/>
  <sheetViews>
    <sheetView showGridLines="0" topLeftCell="A136" zoomScale="85" zoomScaleNormal="85" zoomScaleSheetLayoutView="80" workbookViewId="0">
      <selection activeCell="E143" sqref="E143"/>
    </sheetView>
  </sheetViews>
  <sheetFormatPr defaultColWidth="8.83203125" defaultRowHeight="18" customHeight="1" x14ac:dyDescent="0.4"/>
  <cols>
    <col min="1" max="1" width="8.27734375" style="93" customWidth="1"/>
    <col min="2" max="2" width="55.44140625" bestFit="1" customWidth="1"/>
    <col min="3" max="3" width="9.44140625" customWidth="1"/>
    <col min="5" max="5" width="12.44140625" customWidth="1"/>
    <col min="6" max="6" width="18.44140625" customWidth="1"/>
    <col min="7" max="7" width="23.44140625" customWidth="1"/>
    <col min="8" max="8" width="17.1640625" customWidth="1"/>
    <col min="9" max="9" width="21.1640625" customWidth="1"/>
    <col min="10" max="10" width="19.83203125" customWidth="1"/>
    <col min="11" max="11" width="17.4414062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738</v>
      </c>
      <c r="D5" s="666"/>
      <c r="E5" s="666"/>
      <c r="F5" s="666"/>
      <c r="G5" s="667"/>
    </row>
    <row r="6" spans="1:11" ht="18" customHeight="1" x14ac:dyDescent="0.4">
      <c r="B6" s="1" t="s">
        <v>3</v>
      </c>
      <c r="C6" s="668">
        <v>23</v>
      </c>
      <c r="D6" s="669"/>
      <c r="E6" s="669"/>
      <c r="F6" s="669"/>
      <c r="G6" s="670"/>
    </row>
    <row r="7" spans="1:11" ht="18" customHeight="1" x14ac:dyDescent="0.4">
      <c r="B7" s="1" t="s">
        <v>4</v>
      </c>
      <c r="C7" s="689">
        <v>4926</v>
      </c>
      <c r="D7" s="690"/>
      <c r="E7" s="690"/>
      <c r="F7" s="690"/>
      <c r="G7" s="691"/>
    </row>
    <row r="9" spans="1:11" ht="18" customHeight="1" x14ac:dyDescent="0.4">
      <c r="B9" s="1" t="s">
        <v>1</v>
      </c>
      <c r="C9" s="663" t="s">
        <v>739</v>
      </c>
      <c r="D9" s="666"/>
      <c r="E9" s="666"/>
      <c r="F9" s="666"/>
      <c r="G9" s="667"/>
    </row>
    <row r="10" spans="1:11" ht="18" customHeight="1" x14ac:dyDescent="0.4">
      <c r="B10" s="1" t="s">
        <v>2</v>
      </c>
      <c r="C10" s="660" t="s">
        <v>740</v>
      </c>
      <c r="D10" s="661"/>
      <c r="E10" s="661"/>
      <c r="F10" s="661"/>
      <c r="G10" s="662"/>
    </row>
    <row r="11" spans="1:11" ht="18" customHeight="1" x14ac:dyDescent="0.4">
      <c r="B11" s="1" t="s">
        <v>32</v>
      </c>
      <c r="C11" s="692" t="s">
        <v>741</v>
      </c>
      <c r="D11" s="745"/>
      <c r="E11" s="745"/>
      <c r="F11" s="745"/>
      <c r="G11" s="745"/>
    </row>
    <row r="12" spans="1:11" ht="18" customHeight="1" x14ac:dyDescent="0.4">
      <c r="B12" s="1"/>
      <c r="C12" s="1"/>
      <c r="D12" s="1"/>
      <c r="E12" s="1"/>
      <c r="F12" s="1"/>
      <c r="G12" s="1"/>
    </row>
    <row r="13" spans="1:11" ht="24.75"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12622278.130000001</v>
      </c>
      <c r="I18" s="115">
        <v>0</v>
      </c>
      <c r="J18" s="307">
        <v>10460967.390000001</v>
      </c>
      <c r="K18" s="308">
        <f>(H18+I18)-J18</f>
        <v>2161310.7400000002</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16090</v>
      </c>
      <c r="G21" s="306">
        <v>29949</v>
      </c>
      <c r="H21" s="307">
        <v>833569.5</v>
      </c>
      <c r="I21" s="115">
        <f t="shared" ref="I21:I34" si="0">H21*F$114</f>
        <v>489138.58259999997</v>
      </c>
      <c r="J21" s="307"/>
      <c r="K21" s="308">
        <f t="shared" ref="K21:K34" si="1">(H21+I21)-J21</f>
        <v>1322708.0825999998</v>
      </c>
    </row>
    <row r="22" spans="1:11" ht="18" customHeight="1" x14ac:dyDescent="0.4">
      <c r="A22" s="1" t="s">
        <v>76</v>
      </c>
      <c r="B22" t="s">
        <v>6</v>
      </c>
      <c r="F22" s="306"/>
      <c r="G22" s="306"/>
      <c r="H22" s="307"/>
      <c r="I22" s="115">
        <f t="shared" si="0"/>
        <v>0</v>
      </c>
      <c r="J22" s="307"/>
      <c r="K22" s="308">
        <f t="shared" si="1"/>
        <v>0</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405</v>
      </c>
      <c r="G24" s="306">
        <v>953</v>
      </c>
      <c r="H24" s="307">
        <v>32723</v>
      </c>
      <c r="I24" s="115">
        <f t="shared" si="0"/>
        <v>19201.856400000001</v>
      </c>
      <c r="J24" s="307"/>
      <c r="K24" s="308">
        <f t="shared" si="1"/>
        <v>51924.856400000004</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21408</v>
      </c>
      <c r="G29" s="306">
        <v>25638</v>
      </c>
      <c r="H29" s="307">
        <v>1243188.72</v>
      </c>
      <c r="I29" s="115">
        <f t="shared" si="0"/>
        <v>729503.14089599997</v>
      </c>
      <c r="J29" s="307"/>
      <c r="K29" s="308">
        <f t="shared" si="1"/>
        <v>1972691.8608959999</v>
      </c>
    </row>
    <row r="30" spans="1:11" ht="18" customHeight="1" x14ac:dyDescent="0.4">
      <c r="A30" s="1" t="s">
        <v>84</v>
      </c>
      <c r="B30" s="630" t="s">
        <v>742</v>
      </c>
      <c r="C30" s="631"/>
      <c r="D30" s="632"/>
      <c r="F30" s="306"/>
      <c r="G30" s="306">
        <v>52427</v>
      </c>
      <c r="H30" s="307">
        <v>68866</v>
      </c>
      <c r="I30" s="115">
        <f t="shared" si="0"/>
        <v>40410.568800000001</v>
      </c>
      <c r="J30" s="307"/>
      <c r="K30" s="308">
        <f t="shared" si="1"/>
        <v>109276.56880000001</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37903</v>
      </c>
      <c r="G36" s="310">
        <f t="shared" si="2"/>
        <v>108967</v>
      </c>
      <c r="H36" s="310">
        <f t="shared" si="2"/>
        <v>2178347.2199999997</v>
      </c>
      <c r="I36" s="308">
        <f t="shared" si="2"/>
        <v>1278254.148696</v>
      </c>
      <c r="J36" s="308">
        <f t="shared" si="2"/>
        <v>0</v>
      </c>
      <c r="K36" s="308">
        <f t="shared" si="2"/>
        <v>3456601.368696</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36968</v>
      </c>
      <c r="G40" s="306">
        <v>2858</v>
      </c>
      <c r="H40" s="307">
        <v>5456792</v>
      </c>
      <c r="I40" s="115">
        <v>0</v>
      </c>
      <c r="J40" s="307"/>
      <c r="K40" s="308">
        <f t="shared" ref="K40:K47" si="3">(H40+I40)-J40</f>
        <v>5456792</v>
      </c>
    </row>
    <row r="41" spans="1:11" ht="18" customHeight="1" x14ac:dyDescent="0.4">
      <c r="A41" s="1" t="s">
        <v>88</v>
      </c>
      <c r="B41" s="635" t="s">
        <v>50</v>
      </c>
      <c r="C41" s="636"/>
      <c r="F41" s="306">
        <v>39768</v>
      </c>
      <c r="G41" s="306">
        <v>1243</v>
      </c>
      <c r="H41" s="307">
        <v>1749792</v>
      </c>
      <c r="I41" s="115">
        <v>0</v>
      </c>
      <c r="J41" s="307"/>
      <c r="K41" s="308">
        <f t="shared" si="3"/>
        <v>1749792</v>
      </c>
    </row>
    <row r="42" spans="1:11" ht="18" customHeight="1" x14ac:dyDescent="0.4">
      <c r="A42" s="1" t="s">
        <v>89</v>
      </c>
      <c r="B42" s="94" t="s">
        <v>11</v>
      </c>
      <c r="F42" s="306">
        <v>1238</v>
      </c>
      <c r="G42" s="306">
        <v>30</v>
      </c>
      <c r="H42" s="307">
        <v>58476.480000000003</v>
      </c>
      <c r="I42" s="115">
        <v>0</v>
      </c>
      <c r="J42" s="307"/>
      <c r="K42" s="308">
        <f t="shared" si="3"/>
        <v>58476.480000000003</v>
      </c>
    </row>
    <row r="43" spans="1:11" ht="18" customHeight="1" x14ac:dyDescent="0.4">
      <c r="A43" s="1" t="s">
        <v>90</v>
      </c>
      <c r="B43" s="94" t="s">
        <v>10</v>
      </c>
      <c r="F43" s="306"/>
      <c r="G43" s="306"/>
      <c r="H43" s="307">
        <v>3857</v>
      </c>
      <c r="I43" s="115">
        <v>0</v>
      </c>
      <c r="J43" s="307">
        <v>3857</v>
      </c>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77974</v>
      </c>
      <c r="G49" s="312">
        <f t="shared" si="4"/>
        <v>4131</v>
      </c>
      <c r="H49" s="308">
        <f t="shared" si="4"/>
        <v>7268917.4800000004</v>
      </c>
      <c r="I49" s="308">
        <f t="shared" si="4"/>
        <v>0</v>
      </c>
      <c r="J49" s="308">
        <f t="shared" si="4"/>
        <v>3857</v>
      </c>
      <c r="K49" s="308">
        <f t="shared" si="4"/>
        <v>7265060.4800000004</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40" t="s">
        <v>471</v>
      </c>
      <c r="C53" s="659"/>
      <c r="D53" s="654"/>
      <c r="F53" s="306"/>
      <c r="G53" s="306"/>
      <c r="H53" s="307">
        <v>904608</v>
      </c>
      <c r="I53" s="115">
        <v>0</v>
      </c>
      <c r="J53" s="307"/>
      <c r="K53" s="308">
        <f t="shared" ref="K53:K62" si="5">(H53+I53)-J53</f>
        <v>904608</v>
      </c>
    </row>
    <row r="54" spans="1:11" ht="18" customHeight="1" x14ac:dyDescent="0.4">
      <c r="A54" s="1" t="s">
        <v>93</v>
      </c>
      <c r="B54" s="483" t="s">
        <v>472</v>
      </c>
      <c r="C54" s="401"/>
      <c r="D54" s="402"/>
      <c r="F54" s="306"/>
      <c r="G54" s="306"/>
      <c r="H54" s="307">
        <v>942269</v>
      </c>
      <c r="I54" s="115">
        <v>0</v>
      </c>
      <c r="J54" s="307"/>
      <c r="K54" s="308">
        <f t="shared" si="5"/>
        <v>942269</v>
      </c>
    </row>
    <row r="55" spans="1:11" ht="18" customHeight="1" x14ac:dyDescent="0.4">
      <c r="A55" s="1" t="s">
        <v>94</v>
      </c>
      <c r="B55" s="652" t="s">
        <v>230</v>
      </c>
      <c r="C55" s="653"/>
      <c r="D55" s="654"/>
      <c r="F55" s="306">
        <v>5200</v>
      </c>
      <c r="G55" s="306">
        <v>13061</v>
      </c>
      <c r="H55" s="307">
        <v>235721</v>
      </c>
      <c r="I55" s="115">
        <v>0</v>
      </c>
      <c r="J55" s="307"/>
      <c r="K55" s="308">
        <v>235721</v>
      </c>
    </row>
    <row r="56" spans="1:11" ht="18" customHeight="1" x14ac:dyDescent="0.4">
      <c r="A56" s="1" t="s">
        <v>95</v>
      </c>
      <c r="B56" s="652" t="s">
        <v>743</v>
      </c>
      <c r="C56" s="653"/>
      <c r="D56" s="654"/>
      <c r="F56" s="306">
        <v>1055</v>
      </c>
      <c r="G56" s="306"/>
      <c r="H56" s="307">
        <v>241664.3</v>
      </c>
      <c r="I56" s="115">
        <v>0</v>
      </c>
      <c r="J56" s="307"/>
      <c r="K56" s="308">
        <f t="shared" si="5"/>
        <v>241664.3</v>
      </c>
    </row>
    <row r="57" spans="1:11" ht="18" customHeight="1" x14ac:dyDescent="0.4">
      <c r="A57" s="1" t="s">
        <v>96</v>
      </c>
      <c r="B57" s="652" t="s">
        <v>473</v>
      </c>
      <c r="C57" s="653"/>
      <c r="D57" s="654"/>
      <c r="F57" s="306"/>
      <c r="G57" s="306"/>
      <c r="H57" s="307">
        <v>41587</v>
      </c>
      <c r="I57" s="115">
        <v>0</v>
      </c>
      <c r="J57" s="307"/>
      <c r="K57" s="308">
        <v>41587</v>
      </c>
    </row>
    <row r="58" spans="1:11" ht="18" customHeight="1" x14ac:dyDescent="0.4">
      <c r="A58" s="1" t="s">
        <v>97</v>
      </c>
      <c r="B58" s="483" t="s">
        <v>744</v>
      </c>
      <c r="C58" s="401"/>
      <c r="D58" s="402"/>
      <c r="F58" s="306"/>
      <c r="G58" s="306"/>
      <c r="H58" s="307">
        <v>10730687</v>
      </c>
      <c r="I58" s="115">
        <v>0</v>
      </c>
      <c r="J58" s="307"/>
      <c r="K58" s="308">
        <f t="shared" si="5"/>
        <v>10730687</v>
      </c>
    </row>
    <row r="59" spans="1:11" ht="18" customHeight="1" x14ac:dyDescent="0.4">
      <c r="A59" s="1" t="s">
        <v>98</v>
      </c>
      <c r="B59" s="652" t="s">
        <v>399</v>
      </c>
      <c r="C59" s="653"/>
      <c r="D59" s="654"/>
      <c r="F59" s="306">
        <v>5408</v>
      </c>
      <c r="G59" s="306"/>
      <c r="H59" s="307">
        <v>2334340</v>
      </c>
      <c r="I59" s="115">
        <v>0</v>
      </c>
      <c r="J59" s="307"/>
      <c r="K59" s="308">
        <f t="shared" si="5"/>
        <v>2334340</v>
      </c>
    </row>
    <row r="60" spans="1:11" ht="18" customHeight="1" x14ac:dyDescent="0.4">
      <c r="A60" s="1" t="s">
        <v>99</v>
      </c>
      <c r="B60" s="400" t="s">
        <v>745</v>
      </c>
      <c r="C60" s="401"/>
      <c r="D60" s="402"/>
      <c r="F60" s="306"/>
      <c r="G60" s="306"/>
      <c r="H60" s="307">
        <v>22333535</v>
      </c>
      <c r="I60" s="115">
        <v>0</v>
      </c>
      <c r="J60" s="307"/>
      <c r="K60" s="308">
        <f t="shared" si="5"/>
        <v>22333535</v>
      </c>
    </row>
    <row r="61" spans="1:11" ht="18" customHeight="1" x14ac:dyDescent="0.4">
      <c r="A61" s="1" t="s">
        <v>100</v>
      </c>
      <c r="B61" s="400" t="s">
        <v>746</v>
      </c>
      <c r="C61" s="401"/>
      <c r="D61" s="402"/>
      <c r="F61" s="306"/>
      <c r="G61" s="306"/>
      <c r="H61" s="307">
        <v>3257069</v>
      </c>
      <c r="I61" s="115">
        <v>0</v>
      </c>
      <c r="J61" s="307"/>
      <c r="K61" s="308">
        <f t="shared" si="5"/>
        <v>3257069</v>
      </c>
    </row>
    <row r="62" spans="1:11" ht="18" customHeight="1" x14ac:dyDescent="0.4">
      <c r="A62" s="1" t="s">
        <v>101</v>
      </c>
      <c r="B62" s="655" t="s">
        <v>747</v>
      </c>
      <c r="C62" s="653"/>
      <c r="D62" s="654"/>
      <c r="F62" s="306"/>
      <c r="G62" s="306"/>
      <c r="H62" s="307"/>
      <c r="I62" s="115">
        <v>0</v>
      </c>
      <c r="J62" s="307">
        <v>3275356.26</v>
      </c>
      <c r="K62" s="308">
        <f t="shared" si="5"/>
        <v>-3275356.26</v>
      </c>
    </row>
    <row r="63" spans="1:11" ht="18" customHeight="1" x14ac:dyDescent="0.4">
      <c r="A63" s="1"/>
      <c r="I63" s="403"/>
    </row>
    <row r="64" spans="1:11" ht="18" customHeight="1" x14ac:dyDescent="0.4">
      <c r="A64" s="1" t="s">
        <v>144</v>
      </c>
      <c r="B64" s="95" t="s">
        <v>145</v>
      </c>
      <c r="E64" s="95" t="s">
        <v>7</v>
      </c>
      <c r="F64" s="310">
        <f t="shared" ref="F64:K64" si="6">SUM(F53:F62)</f>
        <v>11663</v>
      </c>
      <c r="G64" s="310">
        <f t="shared" si="6"/>
        <v>13061</v>
      </c>
      <c r="H64" s="308">
        <f t="shared" si="6"/>
        <v>41021480.299999997</v>
      </c>
      <c r="I64" s="308">
        <f t="shared" si="6"/>
        <v>0</v>
      </c>
      <c r="J64" s="308">
        <f t="shared" si="6"/>
        <v>3275356.26</v>
      </c>
      <c r="K64" s="308">
        <f t="shared" si="6"/>
        <v>37746124.039999999</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v>1089590</v>
      </c>
      <c r="I68" s="115">
        <v>0</v>
      </c>
      <c r="J68" s="313"/>
      <c r="K68" s="308">
        <f>(H68+I68)-J68</f>
        <v>1089590</v>
      </c>
    </row>
    <row r="69" spans="1:11" ht="18" customHeight="1" x14ac:dyDescent="0.4">
      <c r="A69" s="1" t="s">
        <v>104</v>
      </c>
      <c r="B69" s="94" t="s">
        <v>53</v>
      </c>
      <c r="F69" s="313"/>
      <c r="G69" s="313"/>
      <c r="H69" s="313">
        <v>525738</v>
      </c>
      <c r="I69" s="115">
        <v>0</v>
      </c>
      <c r="J69" s="313"/>
      <c r="K69" s="308">
        <f>(H69+I69)-J69</f>
        <v>525738</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1615328</v>
      </c>
      <c r="I74" s="412">
        <f t="shared" si="7"/>
        <v>0</v>
      </c>
      <c r="J74" s="411">
        <f t="shared" si="7"/>
        <v>0</v>
      </c>
      <c r="K74" s="308">
        <f t="shared" si="7"/>
        <v>1615328</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63050</v>
      </c>
      <c r="I77" s="115">
        <v>0</v>
      </c>
      <c r="J77" s="307"/>
      <c r="K77" s="308">
        <f>(H77+I77)-J77</f>
        <v>63050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620</v>
      </c>
      <c r="G79" s="306">
        <v>91</v>
      </c>
      <c r="H79" s="307">
        <v>57664.800000000003</v>
      </c>
      <c r="I79" s="115">
        <v>0</v>
      </c>
      <c r="J79" s="307"/>
      <c r="K79" s="308">
        <f>(H79+I79)-J79</f>
        <v>57664.800000000003</v>
      </c>
    </row>
    <row r="80" spans="1:11" ht="18" customHeight="1" x14ac:dyDescent="0.4">
      <c r="A80" s="1" t="s">
        <v>110</v>
      </c>
      <c r="B80" s="94" t="s">
        <v>56</v>
      </c>
      <c r="F80" s="306"/>
      <c r="G80" s="306"/>
      <c r="H80" s="307">
        <v>2699455</v>
      </c>
      <c r="I80" s="115">
        <v>0</v>
      </c>
      <c r="J80" s="307"/>
      <c r="K80" s="308">
        <f>(H80+I80)-J80</f>
        <v>2699455</v>
      </c>
    </row>
    <row r="81" spans="1:11" ht="18" customHeight="1" x14ac:dyDescent="0.4">
      <c r="A81" s="1"/>
      <c r="K81" s="315"/>
    </row>
    <row r="82" spans="1:11" ht="18" customHeight="1" x14ac:dyDescent="0.4">
      <c r="A82" s="1" t="s">
        <v>148</v>
      </c>
      <c r="B82" s="95" t="s">
        <v>149</v>
      </c>
      <c r="E82" s="95" t="s">
        <v>7</v>
      </c>
      <c r="F82" s="411">
        <f t="shared" ref="F82:K82" si="8">SUM(F77:F80)</f>
        <v>620</v>
      </c>
      <c r="G82" s="411">
        <f t="shared" si="8"/>
        <v>91</v>
      </c>
      <c r="H82" s="308">
        <f t="shared" si="8"/>
        <v>2820169.8</v>
      </c>
      <c r="I82" s="308">
        <f t="shared" si="8"/>
        <v>0</v>
      </c>
      <c r="J82" s="308">
        <f t="shared" si="8"/>
        <v>0</v>
      </c>
      <c r="K82" s="308">
        <f t="shared" si="8"/>
        <v>2820169.8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07">
        <v>0</v>
      </c>
      <c r="I86" s="115">
        <f t="shared" ref="I86:I96" si="9">H86*F$114</f>
        <v>0</v>
      </c>
      <c r="J86" s="307"/>
      <c r="K86" s="308">
        <f t="shared" ref="K86:K96" si="10">(H86+I86)-J86</f>
        <v>0</v>
      </c>
    </row>
    <row r="87" spans="1:11" ht="18" customHeight="1" x14ac:dyDescent="0.4">
      <c r="A87" s="1" t="s">
        <v>114</v>
      </c>
      <c r="B87" s="94" t="s">
        <v>14</v>
      </c>
      <c r="F87" s="306">
        <v>0</v>
      </c>
      <c r="G87" s="306">
        <v>0</v>
      </c>
      <c r="H87" s="307">
        <v>9717</v>
      </c>
      <c r="I87" s="115">
        <f t="shared" si="9"/>
        <v>5701.9355999999998</v>
      </c>
      <c r="J87" s="307"/>
      <c r="K87" s="308">
        <f t="shared" si="10"/>
        <v>15418.935600000001</v>
      </c>
    </row>
    <row r="88" spans="1:11" ht="18" customHeight="1" x14ac:dyDescent="0.4">
      <c r="A88" s="1" t="s">
        <v>115</v>
      </c>
      <c r="B88" s="94" t="s">
        <v>116</v>
      </c>
      <c r="F88" s="306">
        <v>1020</v>
      </c>
      <c r="G88" s="306">
        <v>270</v>
      </c>
      <c r="H88" s="307">
        <v>131956</v>
      </c>
      <c r="I88" s="115">
        <f t="shared" si="9"/>
        <v>77431.780799999993</v>
      </c>
      <c r="J88" s="307"/>
      <c r="K88" s="308">
        <f t="shared" si="10"/>
        <v>209387.78080000001</v>
      </c>
    </row>
    <row r="89" spans="1:11" ht="18" customHeight="1" x14ac:dyDescent="0.4">
      <c r="A89" s="1" t="s">
        <v>117</v>
      </c>
      <c r="B89" s="94" t="s">
        <v>58</v>
      </c>
      <c r="F89" s="306">
        <v>1064</v>
      </c>
      <c r="G89" s="306">
        <v>12</v>
      </c>
      <c r="H89" s="307">
        <v>39475.800000000003</v>
      </c>
      <c r="I89" s="115">
        <f t="shared" si="9"/>
        <v>23164.399440000001</v>
      </c>
      <c r="J89" s="307"/>
      <c r="K89" s="308">
        <f t="shared" si="10"/>
        <v>62640.199440000004</v>
      </c>
    </row>
    <row r="90" spans="1:11" ht="18" customHeight="1" x14ac:dyDescent="0.4">
      <c r="A90" s="1" t="s">
        <v>118</v>
      </c>
      <c r="B90" s="635" t="s">
        <v>59</v>
      </c>
      <c r="C90" s="636"/>
      <c r="F90" s="306">
        <v>520</v>
      </c>
      <c r="G90" s="306">
        <v>0</v>
      </c>
      <c r="H90" s="307">
        <v>17680</v>
      </c>
      <c r="I90" s="115">
        <f t="shared" si="9"/>
        <v>10374.624</v>
      </c>
      <c r="J90" s="307"/>
      <c r="K90" s="308">
        <f t="shared" si="10"/>
        <v>28054.624</v>
      </c>
    </row>
    <row r="91" spans="1:11" ht="18" customHeight="1" x14ac:dyDescent="0.4">
      <c r="A91" s="1" t="s">
        <v>119</v>
      </c>
      <c r="B91" s="94" t="s">
        <v>60</v>
      </c>
      <c r="F91" s="306">
        <v>2864</v>
      </c>
      <c r="G91" s="306">
        <v>377</v>
      </c>
      <c r="H91" s="307">
        <v>175115.2</v>
      </c>
      <c r="I91" s="115">
        <f t="shared" si="9"/>
        <v>102757.59936000001</v>
      </c>
      <c r="J91" s="307"/>
      <c r="K91" s="308">
        <f t="shared" si="10"/>
        <v>277872.79936</v>
      </c>
    </row>
    <row r="92" spans="1:11" ht="18" customHeight="1" x14ac:dyDescent="0.4">
      <c r="A92" s="1" t="s">
        <v>120</v>
      </c>
      <c r="B92" s="94" t="s">
        <v>121</v>
      </c>
      <c r="F92" s="107">
        <v>493</v>
      </c>
      <c r="G92" s="107">
        <v>58</v>
      </c>
      <c r="H92" s="108">
        <v>44379.15</v>
      </c>
      <c r="I92" s="115">
        <f t="shared" si="9"/>
        <v>26041.685219999999</v>
      </c>
      <c r="J92" s="108"/>
      <c r="K92" s="308">
        <f t="shared" si="10"/>
        <v>70420.835220000008</v>
      </c>
    </row>
    <row r="93" spans="1:11" ht="18" customHeight="1" x14ac:dyDescent="0.4">
      <c r="A93" s="1" t="s">
        <v>122</v>
      </c>
      <c r="B93" s="94" t="s">
        <v>123</v>
      </c>
      <c r="F93" s="306">
        <v>0</v>
      </c>
      <c r="G93" s="306">
        <v>0</v>
      </c>
      <c r="H93" s="307">
        <v>0</v>
      </c>
      <c r="I93" s="115">
        <f t="shared" si="9"/>
        <v>0</v>
      </c>
      <c r="J93" s="307"/>
      <c r="K93" s="308">
        <f t="shared" si="10"/>
        <v>0</v>
      </c>
    </row>
    <row r="94" spans="1:11" ht="18" customHeight="1" x14ac:dyDescent="0.4">
      <c r="A94" s="1" t="s">
        <v>124</v>
      </c>
      <c r="B94" s="655"/>
      <c r="C94" s="653"/>
      <c r="D94" s="654"/>
      <c r="F94" s="306">
        <v>0</v>
      </c>
      <c r="G94" s="306">
        <v>0</v>
      </c>
      <c r="H94" s="307">
        <v>0</v>
      </c>
      <c r="I94" s="115">
        <f t="shared" si="9"/>
        <v>0</v>
      </c>
      <c r="J94" s="307"/>
      <c r="K94" s="308">
        <f t="shared" si="10"/>
        <v>0</v>
      </c>
    </row>
    <row r="95" spans="1:11" ht="18" customHeight="1" x14ac:dyDescent="0.4">
      <c r="A95" s="1" t="s">
        <v>125</v>
      </c>
      <c r="B95" s="655"/>
      <c r="C95" s="653"/>
      <c r="D95" s="654"/>
      <c r="F95" s="306">
        <v>0</v>
      </c>
      <c r="G95" s="306">
        <v>0</v>
      </c>
      <c r="H95" s="307">
        <v>0</v>
      </c>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5961</v>
      </c>
      <c r="G98" s="310">
        <f t="shared" si="11"/>
        <v>717</v>
      </c>
      <c r="H98" s="310">
        <f t="shared" si="11"/>
        <v>418323.15</v>
      </c>
      <c r="I98" s="310">
        <f t="shared" si="11"/>
        <v>245472.02441999997</v>
      </c>
      <c r="J98" s="310">
        <f t="shared" si="11"/>
        <v>0</v>
      </c>
      <c r="K98" s="310">
        <f t="shared" si="11"/>
        <v>663795.17442000005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400</v>
      </c>
      <c r="G102" s="306">
        <v>350</v>
      </c>
      <c r="H102" s="307">
        <v>48588</v>
      </c>
      <c r="I102" s="115">
        <f>H102*F$114</f>
        <v>28511.438399999999</v>
      </c>
      <c r="J102" s="307"/>
      <c r="K102" s="308">
        <f>(H102+I102)-J102</f>
        <v>77099.438399999999</v>
      </c>
    </row>
    <row r="103" spans="1:11" ht="18" customHeight="1" x14ac:dyDescent="0.4">
      <c r="A103" s="1" t="s">
        <v>132</v>
      </c>
      <c r="B103" s="635" t="s">
        <v>62</v>
      </c>
      <c r="C103" s="635"/>
      <c r="F103" s="306">
        <v>475</v>
      </c>
      <c r="G103" s="306">
        <v>15</v>
      </c>
      <c r="H103" s="307">
        <v>50838</v>
      </c>
      <c r="I103" s="115">
        <f>H103*F$114</f>
        <v>29831.738399999998</v>
      </c>
      <c r="J103" s="307"/>
      <c r="K103" s="308">
        <f>(H103+I103)-J103</f>
        <v>80669.738400000002</v>
      </c>
    </row>
    <row r="104" spans="1:11" ht="18" customHeight="1" x14ac:dyDescent="0.4">
      <c r="A104" s="1" t="s">
        <v>128</v>
      </c>
      <c r="B104" s="655"/>
      <c r="C104" s="653"/>
      <c r="D104" s="654"/>
      <c r="F104" s="306">
        <v>0</v>
      </c>
      <c r="G104" s="306">
        <v>0</v>
      </c>
      <c r="H104" s="307">
        <v>645650</v>
      </c>
      <c r="I104" s="115">
        <f>H104*F$114</f>
        <v>378867.42</v>
      </c>
      <c r="J104" s="307"/>
      <c r="K104" s="308">
        <f>(H104+I104)-J104</f>
        <v>1024517.4199999999</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875</v>
      </c>
      <c r="G108" s="310">
        <f t="shared" si="12"/>
        <v>365</v>
      </c>
      <c r="H108" s="308">
        <f t="shared" si="12"/>
        <v>745076</v>
      </c>
      <c r="I108" s="308">
        <f t="shared" si="12"/>
        <v>437210.5968</v>
      </c>
      <c r="J108" s="308">
        <f t="shared" si="12"/>
        <v>0</v>
      </c>
      <c r="K108" s="308">
        <f t="shared" si="12"/>
        <v>1182286.5967999999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4665050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0.58679999999999999</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564209000</v>
      </c>
    </row>
    <row r="118" spans="1:6" ht="18" customHeight="1" x14ac:dyDescent="0.4">
      <c r="A118" s="1" t="s">
        <v>173</v>
      </c>
      <c r="B118" t="s">
        <v>18</v>
      </c>
      <c r="F118" s="307">
        <v>33627000</v>
      </c>
    </row>
    <row r="119" spans="1:6" ht="18" customHeight="1" x14ac:dyDescent="0.4">
      <c r="A119" s="1" t="s">
        <v>174</v>
      </c>
      <c r="B119" s="95" t="s">
        <v>19</v>
      </c>
      <c r="F119" s="308">
        <f>SUM(F117:F118)</f>
        <v>597836000</v>
      </c>
    </row>
    <row r="120" spans="1:6" ht="18" customHeight="1" x14ac:dyDescent="0.4">
      <c r="A120" s="1"/>
      <c r="B120" s="95"/>
    </row>
    <row r="121" spans="1:6" ht="18" customHeight="1" x14ac:dyDescent="0.4">
      <c r="A121" s="1" t="s">
        <v>167</v>
      </c>
      <c r="B121" s="95" t="s">
        <v>36</v>
      </c>
      <c r="F121" s="307">
        <v>585311000</v>
      </c>
    </row>
    <row r="122" spans="1:6" ht="18" customHeight="1" x14ac:dyDescent="0.4">
      <c r="A122" s="1"/>
    </row>
    <row r="123" spans="1:6" ht="18" customHeight="1" x14ac:dyDescent="0.4">
      <c r="A123" s="1" t="s">
        <v>175</v>
      </c>
      <c r="B123" s="95" t="s">
        <v>20</v>
      </c>
      <c r="F123" s="307">
        <v>12525000</v>
      </c>
    </row>
    <row r="124" spans="1:6" ht="18" customHeight="1" x14ac:dyDescent="0.4">
      <c r="A124" s="1"/>
    </row>
    <row r="125" spans="1:6" ht="18" customHeight="1" x14ac:dyDescent="0.4">
      <c r="A125" s="1" t="s">
        <v>176</v>
      </c>
      <c r="B125" s="95" t="s">
        <v>21</v>
      </c>
      <c r="F125" s="307">
        <v>66036000</v>
      </c>
    </row>
    <row r="126" spans="1:6" ht="18" customHeight="1" x14ac:dyDescent="0.4">
      <c r="A126" s="1"/>
    </row>
    <row r="127" spans="1:6" ht="18" customHeight="1" x14ac:dyDescent="0.4">
      <c r="A127" s="1" t="s">
        <v>177</v>
      </c>
      <c r="B127" s="95" t="s">
        <v>22</v>
      </c>
      <c r="F127" s="307">
        <v>53511000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37903</v>
      </c>
      <c r="G141" s="109">
        <f t="shared" si="14"/>
        <v>108967</v>
      </c>
      <c r="H141" s="109">
        <f t="shared" si="14"/>
        <v>2178347.2199999997</v>
      </c>
      <c r="I141" s="109">
        <f t="shared" si="14"/>
        <v>1278254.148696</v>
      </c>
      <c r="J141" s="109">
        <f t="shared" si="14"/>
        <v>0</v>
      </c>
      <c r="K141" s="109">
        <f t="shared" si="14"/>
        <v>3456601.368696</v>
      </c>
    </row>
    <row r="142" spans="1:11" ht="18" customHeight="1" x14ac:dyDescent="0.4">
      <c r="A142" s="1" t="s">
        <v>142</v>
      </c>
      <c r="B142" s="95" t="s">
        <v>65</v>
      </c>
      <c r="F142" s="109">
        <f t="shared" ref="F142:K142" si="15">F49</f>
        <v>77974</v>
      </c>
      <c r="G142" s="109">
        <f t="shared" si="15"/>
        <v>4131</v>
      </c>
      <c r="H142" s="109">
        <f t="shared" si="15"/>
        <v>7268917.4800000004</v>
      </c>
      <c r="I142" s="109">
        <f t="shared" si="15"/>
        <v>0</v>
      </c>
      <c r="J142" s="109">
        <f t="shared" si="15"/>
        <v>3857</v>
      </c>
      <c r="K142" s="109">
        <f t="shared" si="15"/>
        <v>7265060.4800000004</v>
      </c>
    </row>
    <row r="143" spans="1:11" ht="18" customHeight="1" x14ac:dyDescent="0.4">
      <c r="A143" s="1" t="s">
        <v>144</v>
      </c>
      <c r="B143" s="95" t="s">
        <v>66</v>
      </c>
      <c r="F143" s="109">
        <f t="shared" ref="F143:K143" si="16">F64</f>
        <v>11663</v>
      </c>
      <c r="G143" s="109">
        <f t="shared" si="16"/>
        <v>13061</v>
      </c>
      <c r="H143" s="109">
        <f t="shared" si="16"/>
        <v>41021480.299999997</v>
      </c>
      <c r="I143" s="109">
        <f t="shared" si="16"/>
        <v>0</v>
      </c>
      <c r="J143" s="109">
        <f t="shared" si="16"/>
        <v>3275356.26</v>
      </c>
      <c r="K143" s="109">
        <f t="shared" si="16"/>
        <v>37746124.039999999</v>
      </c>
    </row>
    <row r="144" spans="1:11" ht="18" customHeight="1" x14ac:dyDescent="0.4">
      <c r="A144" s="1" t="s">
        <v>146</v>
      </c>
      <c r="B144" s="95" t="s">
        <v>67</v>
      </c>
      <c r="F144" s="109">
        <f t="shared" ref="F144:K144" si="17">F74</f>
        <v>0</v>
      </c>
      <c r="G144" s="109">
        <f t="shared" si="17"/>
        <v>0</v>
      </c>
      <c r="H144" s="109">
        <f t="shared" si="17"/>
        <v>1615328</v>
      </c>
      <c r="I144" s="109">
        <f t="shared" si="17"/>
        <v>0</v>
      </c>
      <c r="J144" s="109">
        <f t="shared" si="17"/>
        <v>0</v>
      </c>
      <c r="K144" s="109">
        <f t="shared" si="17"/>
        <v>1615328</v>
      </c>
    </row>
    <row r="145" spans="1:11" ht="18" customHeight="1" x14ac:dyDescent="0.4">
      <c r="A145" s="1" t="s">
        <v>148</v>
      </c>
      <c r="B145" s="95" t="s">
        <v>68</v>
      </c>
      <c r="F145" s="109">
        <f t="shared" ref="F145:K145" si="18">F82</f>
        <v>620</v>
      </c>
      <c r="G145" s="109">
        <f t="shared" si="18"/>
        <v>91</v>
      </c>
      <c r="H145" s="109">
        <f t="shared" si="18"/>
        <v>2820169.8</v>
      </c>
      <c r="I145" s="109">
        <f t="shared" si="18"/>
        <v>0</v>
      </c>
      <c r="J145" s="109">
        <f t="shared" si="18"/>
        <v>0</v>
      </c>
      <c r="K145" s="109">
        <f t="shared" si="18"/>
        <v>2820169.8</v>
      </c>
    </row>
    <row r="146" spans="1:11" ht="18" customHeight="1" x14ac:dyDescent="0.4">
      <c r="A146" s="1" t="s">
        <v>150</v>
      </c>
      <c r="B146" s="95" t="s">
        <v>69</v>
      </c>
      <c r="F146" s="109">
        <f t="shared" ref="F146:K146" si="19">F98</f>
        <v>5961</v>
      </c>
      <c r="G146" s="109">
        <f t="shared" si="19"/>
        <v>717</v>
      </c>
      <c r="H146" s="109">
        <f t="shared" si="19"/>
        <v>418323.15</v>
      </c>
      <c r="I146" s="109">
        <f t="shared" si="19"/>
        <v>245472.02441999997</v>
      </c>
      <c r="J146" s="109">
        <f t="shared" si="19"/>
        <v>0</v>
      </c>
      <c r="K146" s="109">
        <f t="shared" si="19"/>
        <v>663795.17442000005</v>
      </c>
    </row>
    <row r="147" spans="1:11" ht="18" customHeight="1" x14ac:dyDescent="0.4">
      <c r="A147" s="1" t="s">
        <v>153</v>
      </c>
      <c r="B147" s="95" t="s">
        <v>61</v>
      </c>
      <c r="F147" s="310">
        <f t="shared" ref="F147:K147" si="20">F108</f>
        <v>875</v>
      </c>
      <c r="G147" s="310">
        <f t="shared" si="20"/>
        <v>365</v>
      </c>
      <c r="H147" s="310">
        <f t="shared" si="20"/>
        <v>745076</v>
      </c>
      <c r="I147" s="310">
        <f t="shared" si="20"/>
        <v>437210.5968</v>
      </c>
      <c r="J147" s="310">
        <f t="shared" si="20"/>
        <v>0</v>
      </c>
      <c r="K147" s="310">
        <f t="shared" si="20"/>
        <v>1182286.5967999999</v>
      </c>
    </row>
    <row r="148" spans="1:11" ht="18" customHeight="1" x14ac:dyDescent="0.4">
      <c r="A148" s="1" t="s">
        <v>155</v>
      </c>
      <c r="B148" s="95" t="s">
        <v>70</v>
      </c>
      <c r="F148" s="110" t="s">
        <v>73</v>
      </c>
      <c r="G148" s="110" t="s">
        <v>73</v>
      </c>
      <c r="H148" s="111" t="s">
        <v>73</v>
      </c>
      <c r="I148" s="111" t="s">
        <v>73</v>
      </c>
      <c r="J148" s="111" t="s">
        <v>73</v>
      </c>
      <c r="K148" s="106">
        <f>F111</f>
        <v>4665050</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12622278.130000001</v>
      </c>
      <c r="I150" s="310">
        <f>I18</f>
        <v>0</v>
      </c>
      <c r="J150" s="310">
        <f>J18</f>
        <v>10460967.390000001</v>
      </c>
      <c r="K150" s="310">
        <f>K18</f>
        <v>2161310.7400000002</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134996</v>
      </c>
      <c r="G152" s="114">
        <f t="shared" si="22"/>
        <v>127332</v>
      </c>
      <c r="H152" s="114">
        <f t="shared" si="22"/>
        <v>68689920.079999998</v>
      </c>
      <c r="I152" s="114">
        <f t="shared" si="22"/>
        <v>1960936.7699159998</v>
      </c>
      <c r="J152" s="114">
        <f t="shared" si="22"/>
        <v>13740180.65</v>
      </c>
      <c r="K152" s="114">
        <f t="shared" si="22"/>
        <v>61575726.199915998</v>
      </c>
    </row>
    <row r="154" spans="1:11" ht="18" customHeight="1" x14ac:dyDescent="0.4">
      <c r="A154" s="98" t="s">
        <v>168</v>
      </c>
      <c r="B154" s="95" t="s">
        <v>28</v>
      </c>
      <c r="F154" s="318">
        <f>K152/F121</f>
        <v>0.10520172386973078</v>
      </c>
    </row>
    <row r="155" spans="1:11" ht="18" customHeight="1" x14ac:dyDescent="0.4">
      <c r="A155" s="98" t="s">
        <v>169</v>
      </c>
      <c r="B155" s="95" t="s">
        <v>72</v>
      </c>
      <c r="F155" s="318">
        <f>K152/F127</f>
        <v>1.1507115583696061</v>
      </c>
      <c r="G155" s="95"/>
    </row>
    <row r="156" spans="1:11" ht="18" customHeight="1" x14ac:dyDescent="0.4">
      <c r="G156" s="95"/>
    </row>
  </sheetData>
  <mergeCells count="34">
    <mergeCell ref="B52:C52"/>
    <mergeCell ref="B53:D53"/>
    <mergeCell ref="C5:G5"/>
    <mergeCell ref="C6:G6"/>
    <mergeCell ref="C9:G9"/>
    <mergeCell ref="C10:G10"/>
    <mergeCell ref="C11:G11"/>
    <mergeCell ref="C7:G7"/>
    <mergeCell ref="B41:C41"/>
    <mergeCell ref="B44:D44"/>
    <mergeCell ref="B45:D45"/>
    <mergeCell ref="B46:D46"/>
    <mergeCell ref="B47:D47"/>
    <mergeCell ref="D2:H2"/>
    <mergeCell ref="B13:H13"/>
    <mergeCell ref="B30:D30"/>
    <mergeCell ref="B31:D31"/>
    <mergeCell ref="B34:D34"/>
    <mergeCell ref="B55:D55"/>
    <mergeCell ref="B56:D56"/>
    <mergeCell ref="B57:D57"/>
    <mergeCell ref="B59:D59"/>
    <mergeCell ref="B62:D62"/>
    <mergeCell ref="B90:C90"/>
    <mergeCell ref="B94:D94"/>
    <mergeCell ref="B95:D95"/>
    <mergeCell ref="B96:D96"/>
    <mergeCell ref="B103:C103"/>
    <mergeCell ref="B135:D135"/>
    <mergeCell ref="B104:D104"/>
    <mergeCell ref="B105:D105"/>
    <mergeCell ref="B106:D106"/>
    <mergeCell ref="B133:D133"/>
    <mergeCell ref="B134:D134"/>
  </mergeCells>
  <hyperlinks>
    <hyperlink ref="C11:G11" r:id="rId1" display="ccrabbs@aahs.org" xr:uid="{1F40FA33-8E47-42BD-B5DD-14E32B9A601A}"/>
  </hyperlinks>
  <printOptions headings="1" gridLines="1"/>
  <pageMargins left="0.25" right="0.25" top="0.75" bottom="0.75" header="0.3" footer="0.3"/>
  <pageSetup scale="59" fitToHeight="3" orientation="landscape" r:id="rId2"/>
  <headerFooter alignWithMargins="0">
    <oddHeader>&amp;RPage &amp;P</oddHeader>
    <oddFooter>&amp;L&amp;Z&amp;F&amp;C&amp;P of &amp;N&amp;R&amp;D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dimension ref="A1:P162"/>
  <sheetViews>
    <sheetView topLeftCell="A128" zoomScale="90" zoomScaleNormal="90" workbookViewId="0">
      <selection activeCell="H150" sqref="H150"/>
    </sheetView>
  </sheetViews>
  <sheetFormatPr defaultColWidth="8.71875" defaultRowHeight="18" customHeight="1" x14ac:dyDescent="0.4"/>
  <cols>
    <col min="1" max="1" width="8.164062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 min="12" max="12" width="7" style="193" bestFit="1" customWidth="1"/>
    <col min="13" max="13" width="23.5546875" customWidth="1"/>
    <col min="14" max="14" width="15.1640625" style="186" bestFit="1" customWidth="1"/>
    <col min="15" max="15" width="13.83203125" style="186" bestFit="1" customWidth="1"/>
    <col min="16" max="16" width="104.1640625" bestFit="1" customWidth="1"/>
  </cols>
  <sheetData>
    <row r="1" spans="1:16" ht="18" customHeight="1" x14ac:dyDescent="0.4">
      <c r="C1" s="97"/>
      <c r="D1" s="96"/>
      <c r="E1" s="97"/>
      <c r="F1" s="97"/>
      <c r="G1" s="97"/>
      <c r="H1" s="97"/>
      <c r="I1" s="97"/>
      <c r="J1" s="97"/>
      <c r="K1" s="97"/>
    </row>
    <row r="2" spans="1:16" ht="18" customHeight="1" x14ac:dyDescent="0.5">
      <c r="D2" s="628" t="s">
        <v>654</v>
      </c>
      <c r="E2" s="629"/>
      <c r="F2" s="629"/>
      <c r="G2" s="629"/>
      <c r="H2" s="629"/>
    </row>
    <row r="3" spans="1:16" ht="18" customHeight="1" x14ac:dyDescent="0.4">
      <c r="B3" s="95" t="s">
        <v>0</v>
      </c>
    </row>
    <row r="5" spans="1:16" ht="18" customHeight="1" x14ac:dyDescent="0.4">
      <c r="B5" s="1" t="s">
        <v>40</v>
      </c>
      <c r="C5" s="663" t="s">
        <v>397</v>
      </c>
      <c r="D5" s="666"/>
      <c r="E5" s="666"/>
      <c r="F5" s="666"/>
      <c r="G5" s="667"/>
    </row>
    <row r="6" spans="1:16" ht="18" customHeight="1" x14ac:dyDescent="0.4">
      <c r="B6" s="1" t="s">
        <v>3</v>
      </c>
      <c r="C6" s="663">
        <v>210024</v>
      </c>
      <c r="D6" s="666"/>
      <c r="E6" s="666"/>
      <c r="F6" s="666"/>
      <c r="G6" s="667"/>
      <c r="N6" s="218"/>
      <c r="O6" s="218"/>
    </row>
    <row r="7" spans="1:16" ht="18" customHeight="1" x14ac:dyDescent="0.55000000000000004">
      <c r="B7" s="1" t="s">
        <v>4</v>
      </c>
      <c r="C7" s="663" t="s">
        <v>748</v>
      </c>
      <c r="D7" s="666"/>
      <c r="E7" s="666"/>
      <c r="F7" s="666"/>
      <c r="G7" s="667"/>
      <c r="N7" s="219"/>
      <c r="O7" s="510"/>
      <c r="P7" s="511"/>
    </row>
    <row r="8" spans="1:16" ht="18" customHeight="1" x14ac:dyDescent="0.55000000000000004">
      <c r="N8" s="219"/>
      <c r="O8" s="510"/>
      <c r="P8" s="511"/>
    </row>
    <row r="9" spans="1:16" ht="18" customHeight="1" x14ac:dyDescent="0.4">
      <c r="B9" s="1" t="s">
        <v>1</v>
      </c>
      <c r="C9" s="663" t="s">
        <v>433</v>
      </c>
      <c r="D9" s="666"/>
      <c r="E9" s="666"/>
      <c r="F9" s="666"/>
      <c r="G9" s="667"/>
      <c r="N9" s="218"/>
      <c r="O9" s="218"/>
    </row>
    <row r="10" spans="1:16" ht="18" customHeight="1" x14ac:dyDescent="0.4">
      <c r="B10" s="1" t="s">
        <v>2</v>
      </c>
      <c r="C10" s="660" t="s">
        <v>434</v>
      </c>
      <c r="D10" s="661"/>
      <c r="E10" s="661"/>
      <c r="F10" s="661"/>
      <c r="G10" s="662"/>
      <c r="N10" s="218"/>
      <c r="O10" s="218"/>
    </row>
    <row r="11" spans="1:16" ht="18" customHeight="1" x14ac:dyDescent="0.55000000000000004">
      <c r="B11" s="1" t="s">
        <v>32</v>
      </c>
      <c r="C11" s="749" t="s">
        <v>435</v>
      </c>
      <c r="D11" s="664"/>
      <c r="E11" s="664"/>
      <c r="F11" s="664"/>
      <c r="G11" s="664"/>
    </row>
    <row r="12" spans="1:16" ht="18" customHeight="1" x14ac:dyDescent="0.4">
      <c r="B12" s="1"/>
      <c r="C12" s="1"/>
      <c r="D12" s="1"/>
      <c r="E12" s="1"/>
      <c r="F12" s="1"/>
      <c r="G12" s="1"/>
    </row>
    <row r="13" spans="1:16" ht="24.7" customHeight="1" x14ac:dyDescent="0.4">
      <c r="B13" s="637"/>
      <c r="C13" s="638"/>
      <c r="D13" s="638"/>
      <c r="E13" s="638"/>
      <c r="F13" s="638"/>
      <c r="G13" s="638"/>
      <c r="H13" s="639"/>
      <c r="I13" s="97"/>
    </row>
    <row r="14" spans="1:16" ht="18" customHeight="1" x14ac:dyDescent="0.4">
      <c r="B14" s="393"/>
    </row>
    <row r="15" spans="1:16" ht="18" customHeight="1" x14ac:dyDescent="0.4">
      <c r="B15" s="393"/>
    </row>
    <row r="16" spans="1:16"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8032218.3700000001</v>
      </c>
      <c r="I18" s="229">
        <v>0</v>
      </c>
      <c r="J18" s="307">
        <v>6656862.8499999996</v>
      </c>
      <c r="K18" s="308">
        <f>H18-J18</f>
        <v>1375355.5200000005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3314.5</v>
      </c>
      <c r="G21" s="306">
        <v>563</v>
      </c>
      <c r="H21" s="319">
        <v>137675</v>
      </c>
      <c r="I21" s="319">
        <v>0</v>
      </c>
      <c r="J21" s="319">
        <v>0</v>
      </c>
      <c r="K21" s="319">
        <v>137675</v>
      </c>
    </row>
    <row r="22" spans="1:11" ht="18" customHeight="1" x14ac:dyDescent="0.4">
      <c r="A22" s="1" t="s">
        <v>76</v>
      </c>
      <c r="B22" t="s">
        <v>6</v>
      </c>
      <c r="F22" s="306">
        <v>0</v>
      </c>
      <c r="G22" s="306">
        <v>0</v>
      </c>
      <c r="H22" s="319">
        <v>222</v>
      </c>
      <c r="I22" s="319">
        <v>154</v>
      </c>
      <c r="J22" s="319">
        <v>0</v>
      </c>
      <c r="K22" s="319">
        <v>376</v>
      </c>
    </row>
    <row r="23" spans="1:11" ht="18" customHeight="1" x14ac:dyDescent="0.4">
      <c r="A23" s="1" t="s">
        <v>77</v>
      </c>
      <c r="B23" t="s">
        <v>43</v>
      </c>
      <c r="F23" s="306">
        <v>218.5</v>
      </c>
      <c r="G23" s="306">
        <v>875</v>
      </c>
      <c r="H23" s="319">
        <v>13051</v>
      </c>
      <c r="I23" s="319">
        <v>0</v>
      </c>
      <c r="J23" s="319">
        <v>0</v>
      </c>
      <c r="K23" s="319">
        <v>13051</v>
      </c>
    </row>
    <row r="24" spans="1:11" ht="18" customHeight="1" x14ac:dyDescent="0.4">
      <c r="A24" s="1" t="s">
        <v>78</v>
      </c>
      <c r="B24" t="s">
        <v>44</v>
      </c>
      <c r="F24" s="306">
        <v>3058</v>
      </c>
      <c r="G24" s="306">
        <v>0</v>
      </c>
      <c r="H24" s="319">
        <v>51843</v>
      </c>
      <c r="I24" s="319">
        <v>35927</v>
      </c>
      <c r="J24" s="319">
        <v>51843</v>
      </c>
      <c r="K24" s="319">
        <v>35927</v>
      </c>
    </row>
    <row r="25" spans="1:11" ht="18" customHeight="1" x14ac:dyDescent="0.4">
      <c r="A25" s="1" t="s">
        <v>79</v>
      </c>
      <c r="B25" t="s">
        <v>5</v>
      </c>
      <c r="F25" s="306"/>
      <c r="G25" s="306"/>
      <c r="H25" s="319"/>
      <c r="I25" s="319"/>
      <c r="J25" s="319"/>
      <c r="K25" s="319"/>
    </row>
    <row r="26" spans="1:11" ht="18" customHeight="1" x14ac:dyDescent="0.4">
      <c r="A26" s="1" t="s">
        <v>80</v>
      </c>
      <c r="B26" t="s">
        <v>45</v>
      </c>
      <c r="F26" s="306"/>
      <c r="G26" s="306"/>
      <c r="H26" s="319"/>
      <c r="I26" s="319"/>
      <c r="J26" s="319"/>
      <c r="K26" s="319"/>
    </row>
    <row r="27" spans="1:11" ht="18" customHeight="1" x14ac:dyDescent="0.4">
      <c r="A27" s="1" t="s">
        <v>81</v>
      </c>
      <c r="B27" t="s">
        <v>46</v>
      </c>
      <c r="F27" s="306">
        <v>1324</v>
      </c>
      <c r="G27" s="306">
        <v>0</v>
      </c>
      <c r="H27" s="319">
        <v>130070</v>
      </c>
      <c r="I27" s="319">
        <v>0</v>
      </c>
      <c r="J27" s="319">
        <v>0</v>
      </c>
      <c r="K27" s="319">
        <v>130070</v>
      </c>
    </row>
    <row r="28" spans="1:11" ht="18" customHeight="1" x14ac:dyDescent="0.4">
      <c r="A28" s="1" t="s">
        <v>82</v>
      </c>
      <c r="B28" t="s">
        <v>47</v>
      </c>
      <c r="F28" s="306"/>
      <c r="G28" s="306"/>
      <c r="H28" s="319"/>
      <c r="I28" s="319"/>
      <c r="J28" s="319"/>
      <c r="K28" s="319"/>
    </row>
    <row r="29" spans="1:11" ht="18" customHeight="1" x14ac:dyDescent="0.4">
      <c r="A29" s="1" t="s">
        <v>83</v>
      </c>
      <c r="B29" t="s">
        <v>48</v>
      </c>
      <c r="F29" s="306">
        <v>8805</v>
      </c>
      <c r="G29" s="306">
        <v>43550</v>
      </c>
      <c r="H29" s="319">
        <v>1027128</v>
      </c>
      <c r="I29" s="319">
        <v>230447</v>
      </c>
      <c r="J29" s="319">
        <v>0</v>
      </c>
      <c r="K29" s="319">
        <v>1257575</v>
      </c>
    </row>
    <row r="30" spans="1:11" ht="18" customHeight="1" x14ac:dyDescent="0.55000000000000004">
      <c r="A30" s="1" t="s">
        <v>84</v>
      </c>
      <c r="B30" s="746" t="s">
        <v>229</v>
      </c>
      <c r="C30" s="747"/>
      <c r="D30" s="748"/>
      <c r="F30" s="306"/>
      <c r="G30" s="306"/>
      <c r="H30" s="319"/>
      <c r="I30" s="319"/>
      <c r="J30" s="319"/>
      <c r="K30" s="319"/>
    </row>
    <row r="31" spans="1:11" ht="18" customHeight="1" x14ac:dyDescent="0.4">
      <c r="A31" s="1" t="s">
        <v>133</v>
      </c>
      <c r="B31" s="630"/>
      <c r="C31" s="631"/>
      <c r="D31" s="632"/>
      <c r="F31" s="306"/>
      <c r="G31" s="306"/>
      <c r="H31" s="319"/>
      <c r="I31" s="229"/>
      <c r="J31" s="319"/>
      <c r="K31" s="351"/>
    </row>
    <row r="32" spans="1:11" ht="18" customHeight="1" x14ac:dyDescent="0.4">
      <c r="A32" s="1" t="s">
        <v>134</v>
      </c>
      <c r="B32" s="394"/>
      <c r="C32" s="395"/>
      <c r="D32" s="396"/>
      <c r="F32" s="306"/>
      <c r="G32" s="309"/>
      <c r="H32" s="319"/>
      <c r="I32" s="229"/>
      <c r="J32" s="319"/>
      <c r="K32" s="351"/>
    </row>
    <row r="33" spans="1:11" ht="18" customHeight="1" x14ac:dyDescent="0.4">
      <c r="A33" s="1" t="s">
        <v>135</v>
      </c>
      <c r="B33" s="394"/>
      <c r="C33" s="395"/>
      <c r="D33" s="396"/>
      <c r="F33" s="306"/>
      <c r="G33" s="309"/>
      <c r="H33" s="319"/>
      <c r="I33" s="229"/>
      <c r="J33" s="319"/>
      <c r="K33" s="351"/>
    </row>
    <row r="34" spans="1:11" ht="18" customHeight="1" x14ac:dyDescent="0.4">
      <c r="A34" s="1" t="s">
        <v>136</v>
      </c>
      <c r="B34" s="630"/>
      <c r="C34" s="631"/>
      <c r="D34" s="632"/>
      <c r="F34" s="306"/>
      <c r="G34" s="309"/>
      <c r="H34" s="319"/>
      <c r="I34" s="229"/>
      <c r="J34" s="319"/>
      <c r="K34" s="351"/>
    </row>
    <row r="35" spans="1:11" ht="18" customHeight="1" x14ac:dyDescent="0.4">
      <c r="H35" s="87"/>
      <c r="I35" s="87"/>
      <c r="J35" s="87"/>
      <c r="K35" s="487"/>
    </row>
    <row r="36" spans="1:11" ht="18" customHeight="1" x14ac:dyDescent="0.4">
      <c r="A36" s="98" t="s">
        <v>137</v>
      </c>
      <c r="B36" s="95" t="s">
        <v>138</v>
      </c>
      <c r="E36" s="95" t="s">
        <v>7</v>
      </c>
      <c r="F36" s="310">
        <v>16720</v>
      </c>
      <c r="G36" s="310">
        <v>44988</v>
      </c>
      <c r="H36" s="351">
        <v>1359989</v>
      </c>
      <c r="I36" s="351">
        <v>266528</v>
      </c>
      <c r="J36" s="351">
        <v>51843</v>
      </c>
      <c r="K36" s="351">
        <v>1574674</v>
      </c>
    </row>
    <row r="37" spans="1:11" ht="18" customHeight="1" thickBot="1" x14ac:dyDescent="0.45">
      <c r="B37" s="95"/>
      <c r="F37" s="398"/>
      <c r="G37" s="398"/>
      <c r="H37" s="398"/>
      <c r="I37" s="398"/>
      <c r="J37" s="398"/>
      <c r="K37" s="398"/>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202757</v>
      </c>
      <c r="G40" s="306">
        <v>0</v>
      </c>
      <c r="H40" s="319">
        <v>14561886</v>
      </c>
      <c r="I40" s="319">
        <v>10093501</v>
      </c>
      <c r="J40" s="319">
        <v>0</v>
      </c>
      <c r="K40" s="319">
        <v>24655387</v>
      </c>
    </row>
    <row r="41" spans="1:11" ht="18" customHeight="1" x14ac:dyDescent="0.4">
      <c r="A41" s="1" t="s">
        <v>88</v>
      </c>
      <c r="B41" s="635" t="s">
        <v>50</v>
      </c>
      <c r="C41" s="636"/>
      <c r="F41" s="306">
        <v>22990</v>
      </c>
      <c r="G41" s="306">
        <v>0</v>
      </c>
      <c r="H41" s="319">
        <v>923188</v>
      </c>
      <c r="I41" s="319">
        <v>639769</v>
      </c>
      <c r="J41" s="319">
        <v>0</v>
      </c>
      <c r="K41" s="319">
        <v>1562957</v>
      </c>
    </row>
    <row r="42" spans="1:11" ht="18" customHeight="1" x14ac:dyDescent="0.4">
      <c r="A42" s="1" t="s">
        <v>89</v>
      </c>
      <c r="B42" s="94" t="s">
        <v>11</v>
      </c>
      <c r="F42" s="306">
        <v>21</v>
      </c>
      <c r="G42" s="306">
        <v>0</v>
      </c>
      <c r="H42" s="319">
        <v>947</v>
      </c>
      <c r="I42" s="319">
        <v>656</v>
      </c>
      <c r="J42" s="319">
        <v>0</v>
      </c>
      <c r="K42" s="319">
        <v>1603</v>
      </c>
    </row>
    <row r="43" spans="1:11" ht="18" customHeight="1" x14ac:dyDescent="0.4">
      <c r="A43" s="1" t="s">
        <v>90</v>
      </c>
      <c r="B43" s="94" t="s">
        <v>10</v>
      </c>
      <c r="F43" s="306"/>
      <c r="G43" s="306"/>
      <c r="H43" s="319"/>
      <c r="I43" s="229"/>
      <c r="J43" s="319"/>
      <c r="K43" s="351"/>
    </row>
    <row r="44" spans="1:11" ht="18" customHeight="1" x14ac:dyDescent="0.4">
      <c r="A44" s="1" t="s">
        <v>91</v>
      </c>
      <c r="B44" s="630"/>
      <c r="C44" s="631"/>
      <c r="D44" s="632"/>
      <c r="F44" s="311"/>
      <c r="G44" s="311"/>
      <c r="H44" s="348"/>
      <c r="I44" s="488"/>
      <c r="J44" s="348"/>
      <c r="K44" s="489"/>
    </row>
    <row r="45" spans="1:11" ht="18" customHeight="1" x14ac:dyDescent="0.4">
      <c r="A45" s="1" t="s">
        <v>139</v>
      </c>
      <c r="B45" s="630"/>
      <c r="C45" s="631"/>
      <c r="D45" s="632"/>
      <c r="F45" s="306"/>
      <c r="G45" s="306"/>
      <c r="H45" s="319"/>
      <c r="I45" s="229"/>
      <c r="J45" s="319"/>
      <c r="K45" s="351"/>
    </row>
    <row r="46" spans="1:11" ht="18" customHeight="1" x14ac:dyDescent="0.4">
      <c r="A46" s="1" t="s">
        <v>140</v>
      </c>
      <c r="B46" s="630"/>
      <c r="C46" s="631"/>
      <c r="D46" s="632"/>
      <c r="F46" s="306"/>
      <c r="G46" s="306"/>
      <c r="H46" s="319"/>
      <c r="I46" s="229"/>
      <c r="J46" s="319"/>
      <c r="K46" s="351"/>
    </row>
    <row r="47" spans="1:11" ht="18" customHeight="1" x14ac:dyDescent="0.4">
      <c r="A47" s="1" t="s">
        <v>141</v>
      </c>
      <c r="B47" s="630"/>
      <c r="C47" s="631"/>
      <c r="D47" s="632"/>
      <c r="F47" s="306"/>
      <c r="G47" s="306"/>
      <c r="H47" s="319"/>
      <c r="I47" s="229"/>
      <c r="J47" s="319"/>
      <c r="K47" s="351"/>
    </row>
    <row r="48" spans="1:11" ht="18" customHeight="1" x14ac:dyDescent="0.4">
      <c r="H48" s="87"/>
      <c r="I48" s="87"/>
      <c r="J48" s="87"/>
      <c r="K48" s="87"/>
    </row>
    <row r="49" spans="1:13" ht="18" customHeight="1" x14ac:dyDescent="0.4">
      <c r="A49" s="98" t="s">
        <v>142</v>
      </c>
      <c r="B49" s="95" t="s">
        <v>143</v>
      </c>
      <c r="E49" s="95" t="s">
        <v>7</v>
      </c>
      <c r="F49" s="341">
        <v>225768</v>
      </c>
      <c r="G49" s="312">
        <v>0</v>
      </c>
      <c r="H49" s="351">
        <v>15486021</v>
      </c>
      <c r="I49" s="351">
        <v>10733926</v>
      </c>
      <c r="J49" s="351">
        <v>0</v>
      </c>
      <c r="K49" s="351">
        <v>26219947</v>
      </c>
    </row>
    <row r="50" spans="1:13" ht="18" customHeight="1" thickBot="1" x14ac:dyDescent="0.45">
      <c r="G50" s="103"/>
      <c r="H50" s="103"/>
      <c r="I50" s="103"/>
      <c r="J50" s="103"/>
      <c r="K50" s="103"/>
    </row>
    <row r="51" spans="1:13" ht="42.75" customHeight="1" x14ac:dyDescent="0.4">
      <c r="F51" s="99" t="s">
        <v>9</v>
      </c>
      <c r="G51" s="99" t="s">
        <v>37</v>
      </c>
      <c r="H51" s="99" t="s">
        <v>29</v>
      </c>
      <c r="I51" s="99" t="s">
        <v>30</v>
      </c>
      <c r="J51" s="99" t="s">
        <v>33</v>
      </c>
      <c r="K51" s="99" t="s">
        <v>34</v>
      </c>
    </row>
    <row r="52" spans="1:13" ht="18" customHeight="1" x14ac:dyDescent="0.4">
      <c r="A52" s="98" t="s">
        <v>92</v>
      </c>
      <c r="B52" s="656" t="s">
        <v>38</v>
      </c>
      <c r="C52" s="657"/>
    </row>
    <row r="53" spans="1:13" ht="18" customHeight="1" x14ac:dyDescent="0.4">
      <c r="A53" s="1" t="s">
        <v>51</v>
      </c>
      <c r="B53" s="400" t="s">
        <v>229</v>
      </c>
      <c r="C53" s="401"/>
      <c r="D53" s="402"/>
      <c r="F53" s="306">
        <v>0</v>
      </c>
      <c r="G53" s="306">
        <v>0</v>
      </c>
      <c r="H53" s="306">
        <v>6516534</v>
      </c>
      <c r="I53" s="306">
        <v>0</v>
      </c>
      <c r="J53" s="306">
        <v>3067948</v>
      </c>
      <c r="K53" s="306">
        <v>3448586</v>
      </c>
    </row>
    <row r="54" spans="1:13" ht="18" customHeight="1" x14ac:dyDescent="0.4">
      <c r="A54" s="1" t="s">
        <v>439</v>
      </c>
      <c r="B54" s="655" t="s">
        <v>398</v>
      </c>
      <c r="C54" s="653"/>
      <c r="D54" s="654"/>
      <c r="F54" s="306">
        <v>0</v>
      </c>
      <c r="G54" s="306">
        <v>0</v>
      </c>
      <c r="H54" s="306">
        <v>132079</v>
      </c>
      <c r="I54" s="306">
        <v>0</v>
      </c>
      <c r="J54" s="306">
        <v>0</v>
      </c>
      <c r="K54" s="306">
        <v>132079</v>
      </c>
      <c r="M54" s="131"/>
    </row>
    <row r="55" spans="1:13" ht="18" customHeight="1" x14ac:dyDescent="0.4">
      <c r="A55" s="1" t="s">
        <v>440</v>
      </c>
      <c r="B55" s="655" t="s">
        <v>525</v>
      </c>
      <c r="C55" s="653"/>
      <c r="D55" s="654"/>
      <c r="F55" s="306"/>
      <c r="G55" s="306"/>
      <c r="H55" s="306"/>
      <c r="I55" s="306"/>
      <c r="J55" s="306"/>
      <c r="K55" s="306"/>
    </row>
    <row r="56" spans="1:13" ht="18" customHeight="1" x14ac:dyDescent="0.4">
      <c r="A56" s="1" t="s">
        <v>95</v>
      </c>
      <c r="B56" s="406" t="s">
        <v>526</v>
      </c>
      <c r="C56" s="407"/>
      <c r="D56" s="402"/>
      <c r="F56" s="306"/>
      <c r="G56" s="306"/>
      <c r="H56" s="307"/>
      <c r="I56" s="115"/>
      <c r="J56" s="307"/>
      <c r="K56" s="308"/>
    </row>
    <row r="57" spans="1:13" ht="18" customHeight="1" x14ac:dyDescent="0.4">
      <c r="A57" s="1" t="s">
        <v>96</v>
      </c>
      <c r="B57" s="400" t="s">
        <v>313</v>
      </c>
      <c r="C57" s="401"/>
      <c r="D57" s="402"/>
      <c r="F57" s="306"/>
      <c r="G57" s="306"/>
      <c r="H57" s="307"/>
      <c r="I57" s="115"/>
      <c r="J57" s="307"/>
      <c r="K57" s="308"/>
    </row>
    <row r="58" spans="1:13" ht="18" customHeight="1" x14ac:dyDescent="0.4">
      <c r="A58" s="1" t="s">
        <v>97</v>
      </c>
      <c r="B58" s="400"/>
      <c r="C58" s="401"/>
      <c r="D58" s="402"/>
      <c r="F58" s="306"/>
      <c r="G58" s="306"/>
      <c r="H58" s="307"/>
      <c r="I58" s="115"/>
      <c r="J58" s="307"/>
      <c r="K58" s="308"/>
    </row>
    <row r="59" spans="1:13" ht="18" customHeight="1" x14ac:dyDescent="0.4">
      <c r="A59" s="1" t="s">
        <v>98</v>
      </c>
      <c r="B59" s="400"/>
      <c r="C59" s="401"/>
      <c r="D59" s="402"/>
      <c r="F59" s="306"/>
      <c r="G59" s="306"/>
      <c r="H59" s="307"/>
      <c r="I59" s="115"/>
      <c r="J59" s="307"/>
      <c r="K59" s="308"/>
    </row>
    <row r="60" spans="1:13" ht="18" customHeight="1" x14ac:dyDescent="0.4">
      <c r="A60" s="1" t="s">
        <v>99</v>
      </c>
      <c r="B60" s="400" t="s">
        <v>399</v>
      </c>
      <c r="C60" s="401"/>
      <c r="D60" s="402"/>
      <c r="F60" s="306"/>
      <c r="G60" s="306"/>
      <c r="H60" s="307"/>
      <c r="I60" s="115"/>
      <c r="J60" s="307"/>
      <c r="K60" s="308"/>
    </row>
    <row r="61" spans="1:13" ht="18" customHeight="1" x14ac:dyDescent="0.4">
      <c r="A61" s="1" t="s">
        <v>100</v>
      </c>
      <c r="B61" s="400"/>
      <c r="C61" s="401"/>
      <c r="D61" s="402"/>
      <c r="F61" s="306"/>
      <c r="G61" s="306"/>
      <c r="H61" s="307"/>
      <c r="I61" s="115"/>
      <c r="J61" s="307"/>
      <c r="K61" s="308"/>
    </row>
    <row r="62" spans="1:13" ht="18" customHeight="1" x14ac:dyDescent="0.4">
      <c r="A62" s="1" t="s">
        <v>101</v>
      </c>
      <c r="B62" s="400"/>
      <c r="C62" s="401"/>
      <c r="D62" s="402"/>
      <c r="F62" s="306"/>
      <c r="G62" s="306"/>
      <c r="H62" s="307"/>
      <c r="I62" s="115"/>
      <c r="J62" s="307"/>
      <c r="K62" s="308"/>
    </row>
    <row r="63" spans="1:13" ht="18" customHeight="1" x14ac:dyDescent="0.4">
      <c r="A63" s="1"/>
      <c r="I63" s="403"/>
    </row>
    <row r="64" spans="1:13" ht="18" customHeight="1" x14ac:dyDescent="0.4">
      <c r="A64" s="1" t="s">
        <v>144</v>
      </c>
      <c r="B64" s="95" t="s">
        <v>145</v>
      </c>
      <c r="E64" s="95" t="s">
        <v>7</v>
      </c>
      <c r="F64" s="310">
        <v>0</v>
      </c>
      <c r="G64" s="310">
        <v>0</v>
      </c>
      <c r="H64" s="351">
        <v>6648613</v>
      </c>
      <c r="I64" s="351">
        <v>0</v>
      </c>
      <c r="J64" s="351">
        <v>3067948</v>
      </c>
      <c r="K64" s="351">
        <v>3580665</v>
      </c>
    </row>
    <row r="65" spans="1:13" ht="18" customHeight="1" x14ac:dyDescent="0.4">
      <c r="F65" s="113"/>
      <c r="G65" s="113"/>
      <c r="H65" s="113"/>
      <c r="I65" s="113"/>
      <c r="J65" s="113"/>
      <c r="K65" s="113"/>
    </row>
    <row r="66" spans="1:13" ht="42.75" customHeight="1" x14ac:dyDescent="0.4">
      <c r="F66" s="99" t="s">
        <v>9</v>
      </c>
      <c r="G66" s="99" t="s">
        <v>37</v>
      </c>
      <c r="H66" s="99" t="s">
        <v>29</v>
      </c>
      <c r="I66" s="99" t="s">
        <v>30</v>
      </c>
      <c r="J66" s="99" t="s">
        <v>33</v>
      </c>
      <c r="K66" s="99" t="s">
        <v>34</v>
      </c>
    </row>
    <row r="67" spans="1:13" ht="18" customHeight="1" x14ac:dyDescent="0.4">
      <c r="A67" s="98" t="s">
        <v>102</v>
      </c>
      <c r="B67" s="95" t="s">
        <v>12</v>
      </c>
      <c r="F67" s="404"/>
      <c r="G67" s="404"/>
      <c r="H67" s="404"/>
      <c r="I67" s="405"/>
      <c r="J67" s="404"/>
      <c r="K67" s="405"/>
    </row>
    <row r="68" spans="1:13" ht="18" customHeight="1" x14ac:dyDescent="0.4">
      <c r="A68" s="1" t="s">
        <v>238</v>
      </c>
      <c r="B68" s="400" t="s">
        <v>52</v>
      </c>
      <c r="C68" s="401"/>
      <c r="D68" s="402"/>
      <c r="F68" s="313">
        <v>0</v>
      </c>
      <c r="G68" s="368">
        <v>0</v>
      </c>
      <c r="H68" s="349">
        <v>1422927</v>
      </c>
      <c r="I68" s="349">
        <v>986088</v>
      </c>
      <c r="J68" s="349">
        <v>27203</v>
      </c>
      <c r="K68" s="349">
        <v>2381812</v>
      </c>
      <c r="M68" s="228"/>
    </row>
    <row r="69" spans="1:13" ht="18" customHeight="1" x14ac:dyDescent="0.4">
      <c r="A69" s="1" t="s">
        <v>300</v>
      </c>
      <c r="B69" s="400" t="s">
        <v>438</v>
      </c>
      <c r="C69" s="401"/>
      <c r="D69" s="402"/>
      <c r="F69" s="313"/>
      <c r="G69" s="313"/>
      <c r="H69" s="349"/>
      <c r="I69" s="349"/>
      <c r="J69" s="349"/>
      <c r="K69" s="349"/>
    </row>
    <row r="70" spans="1:13" ht="18" customHeight="1" x14ac:dyDescent="0.4">
      <c r="A70" s="1" t="s">
        <v>178</v>
      </c>
      <c r="B70" s="400"/>
      <c r="C70" s="401"/>
      <c r="D70" s="402"/>
      <c r="E70" s="95"/>
      <c r="F70" s="104"/>
      <c r="G70" s="104"/>
      <c r="H70" s="115"/>
      <c r="I70" s="115"/>
      <c r="J70" s="115"/>
      <c r="K70" s="308"/>
    </row>
    <row r="71" spans="1:13" ht="18" customHeight="1" x14ac:dyDescent="0.4">
      <c r="A71" s="1" t="s">
        <v>179</v>
      </c>
      <c r="B71" s="400"/>
      <c r="C71" s="401"/>
      <c r="D71" s="402"/>
      <c r="E71" s="95"/>
      <c r="F71" s="104"/>
      <c r="G71" s="104"/>
      <c r="H71" s="105"/>
      <c r="I71" s="115"/>
      <c r="J71" s="105"/>
      <c r="K71" s="308"/>
    </row>
    <row r="72" spans="1:13" ht="18" customHeight="1" x14ac:dyDescent="0.4">
      <c r="A72" s="1" t="s">
        <v>180</v>
      </c>
      <c r="B72" s="406"/>
      <c r="C72" s="407"/>
      <c r="D72" s="408"/>
      <c r="E72" s="95"/>
      <c r="F72" s="306"/>
      <c r="G72" s="306"/>
      <c r="H72" s="307"/>
      <c r="I72" s="115"/>
      <c r="J72" s="307"/>
      <c r="K72" s="308"/>
    </row>
    <row r="73" spans="1:13" ht="18" customHeight="1" x14ac:dyDescent="0.4">
      <c r="A73" s="1"/>
      <c r="B73" s="94"/>
      <c r="E73" s="95"/>
      <c r="F73" s="409"/>
      <c r="G73" s="409"/>
      <c r="H73" s="410"/>
      <c r="I73" s="405"/>
      <c r="J73" s="410"/>
      <c r="K73" s="405"/>
    </row>
    <row r="74" spans="1:13" ht="18" customHeight="1" x14ac:dyDescent="0.4">
      <c r="A74" s="98" t="s">
        <v>146</v>
      </c>
      <c r="B74" s="95" t="s">
        <v>147</v>
      </c>
      <c r="E74" s="95" t="s">
        <v>7</v>
      </c>
      <c r="F74" s="411">
        <v>0</v>
      </c>
      <c r="G74" s="411">
        <v>0</v>
      </c>
      <c r="H74" s="229">
        <v>1422927</v>
      </c>
      <c r="I74" s="229">
        <v>986088</v>
      </c>
      <c r="J74" s="229">
        <v>27203</v>
      </c>
      <c r="K74" s="351">
        <v>2381812</v>
      </c>
    </row>
    <row r="75" spans="1:13" ht="42.75" customHeight="1" x14ac:dyDescent="0.4">
      <c r="F75" s="99" t="s">
        <v>9</v>
      </c>
      <c r="G75" s="99" t="s">
        <v>37</v>
      </c>
      <c r="H75" s="99" t="s">
        <v>29</v>
      </c>
      <c r="I75" s="99" t="s">
        <v>30</v>
      </c>
      <c r="J75" s="99" t="s">
        <v>33</v>
      </c>
      <c r="K75" s="99" t="s">
        <v>34</v>
      </c>
    </row>
    <row r="76" spans="1:13" ht="18" customHeight="1" x14ac:dyDescent="0.4">
      <c r="A76" s="98" t="s">
        <v>105</v>
      </c>
      <c r="B76" s="95" t="s">
        <v>106</v>
      </c>
    </row>
    <row r="77" spans="1:13" ht="18" customHeight="1" x14ac:dyDescent="0.4">
      <c r="A77" s="1" t="s">
        <v>107</v>
      </c>
      <c r="B77" s="94" t="s">
        <v>54</v>
      </c>
      <c r="F77" s="306">
        <v>0</v>
      </c>
      <c r="G77" s="306">
        <v>0</v>
      </c>
      <c r="H77" s="306">
        <v>78870</v>
      </c>
      <c r="I77" s="306">
        <v>0</v>
      </c>
      <c r="J77" s="306">
        <v>0</v>
      </c>
      <c r="K77" s="306">
        <v>78870</v>
      </c>
    </row>
    <row r="78" spans="1:13" ht="18" customHeight="1" x14ac:dyDescent="0.4">
      <c r="A78" s="1" t="s">
        <v>108</v>
      </c>
      <c r="B78" s="94" t="s">
        <v>55</v>
      </c>
      <c r="F78" s="306"/>
      <c r="G78" s="306"/>
      <c r="H78" s="306"/>
      <c r="I78" s="306"/>
      <c r="J78" s="306"/>
      <c r="K78" s="306"/>
    </row>
    <row r="79" spans="1:13" ht="18" customHeight="1" x14ac:dyDescent="0.4">
      <c r="A79" s="1" t="s">
        <v>109</v>
      </c>
      <c r="B79" s="94" t="s">
        <v>13</v>
      </c>
      <c r="F79" s="306">
        <v>0</v>
      </c>
      <c r="G79" s="306">
        <v>0</v>
      </c>
      <c r="H79" s="306">
        <v>2438</v>
      </c>
      <c r="I79" s="306">
        <v>0</v>
      </c>
      <c r="J79" s="306">
        <v>0</v>
      </c>
      <c r="K79" s="306">
        <v>2438</v>
      </c>
    </row>
    <row r="80" spans="1:13" ht="18" customHeight="1" x14ac:dyDescent="0.4">
      <c r="A80" s="1" t="s">
        <v>110</v>
      </c>
      <c r="B80" s="94" t="s">
        <v>56</v>
      </c>
      <c r="F80" s="306"/>
      <c r="G80" s="306"/>
      <c r="H80" s="307"/>
      <c r="I80" s="115"/>
      <c r="J80" s="307"/>
      <c r="K80" s="308"/>
    </row>
    <row r="81" spans="1:11" ht="18" customHeight="1" x14ac:dyDescent="0.4">
      <c r="A81" s="1"/>
      <c r="K81" s="315"/>
    </row>
    <row r="82" spans="1:11" ht="18" customHeight="1" x14ac:dyDescent="0.4">
      <c r="A82" s="1" t="s">
        <v>148</v>
      </c>
      <c r="B82" s="95" t="s">
        <v>149</v>
      </c>
      <c r="E82" s="95" t="s">
        <v>7</v>
      </c>
      <c r="F82" s="411">
        <v>0</v>
      </c>
      <c r="G82" s="411">
        <v>0</v>
      </c>
      <c r="H82" s="351">
        <v>81308</v>
      </c>
      <c r="I82" s="351">
        <v>0</v>
      </c>
      <c r="J82" s="351">
        <v>0</v>
      </c>
      <c r="K82" s="351">
        <v>81308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06">
        <v>44950</v>
      </c>
      <c r="I86" s="306">
        <v>0</v>
      </c>
      <c r="J86" s="306">
        <v>0</v>
      </c>
      <c r="K86" s="306">
        <v>44950</v>
      </c>
    </row>
    <row r="87" spans="1:11" ht="18" customHeight="1" x14ac:dyDescent="0.4">
      <c r="A87" s="1" t="s">
        <v>114</v>
      </c>
      <c r="B87" s="94" t="s">
        <v>14</v>
      </c>
      <c r="F87" s="306"/>
      <c r="G87" s="306"/>
      <c r="H87" s="307"/>
      <c r="I87" s="115"/>
      <c r="J87" s="307"/>
      <c r="K87" s="308"/>
    </row>
    <row r="88" spans="1:11" ht="18" customHeight="1" x14ac:dyDescent="0.4">
      <c r="A88" s="1" t="s">
        <v>115</v>
      </c>
      <c r="B88" s="94" t="s">
        <v>116</v>
      </c>
      <c r="F88" s="306">
        <v>343.5</v>
      </c>
      <c r="G88" s="306">
        <v>0</v>
      </c>
      <c r="H88" s="306">
        <v>21742</v>
      </c>
      <c r="I88" s="306">
        <v>5970</v>
      </c>
      <c r="J88" s="306">
        <v>0</v>
      </c>
      <c r="K88" s="306">
        <v>27712</v>
      </c>
    </row>
    <row r="89" spans="1:11" ht="18" customHeight="1" x14ac:dyDescent="0.4">
      <c r="A89" s="1" t="s">
        <v>117</v>
      </c>
      <c r="B89" s="94" t="s">
        <v>58</v>
      </c>
      <c r="F89" s="306"/>
      <c r="G89" s="306"/>
      <c r="H89" s="307"/>
      <c r="I89" s="115"/>
      <c r="J89" s="307"/>
      <c r="K89" s="308"/>
    </row>
    <row r="90" spans="1:11" ht="18" customHeight="1" x14ac:dyDescent="0.4">
      <c r="A90" s="1" t="s">
        <v>118</v>
      </c>
      <c r="B90" s="635" t="s">
        <v>59</v>
      </c>
      <c r="C90" s="636"/>
      <c r="F90" s="306"/>
      <c r="G90" s="306"/>
      <c r="H90" s="307"/>
      <c r="I90" s="115"/>
      <c r="J90" s="307"/>
      <c r="K90" s="308"/>
    </row>
    <row r="91" spans="1:11" ht="18" customHeight="1" x14ac:dyDescent="0.4">
      <c r="A91" s="1" t="s">
        <v>119</v>
      </c>
      <c r="B91" s="94" t="s">
        <v>60</v>
      </c>
      <c r="F91" s="306"/>
      <c r="G91" s="306"/>
      <c r="H91" s="307"/>
      <c r="I91" s="115"/>
      <c r="J91" s="307"/>
      <c r="K91" s="308"/>
    </row>
    <row r="92" spans="1:11" ht="18" customHeight="1" x14ac:dyDescent="0.4">
      <c r="A92" s="1" t="s">
        <v>120</v>
      </c>
      <c r="B92" s="94" t="s">
        <v>121</v>
      </c>
      <c r="F92" s="107">
        <v>0</v>
      </c>
      <c r="G92" s="107">
        <v>0</v>
      </c>
      <c r="H92" s="107">
        <v>26386</v>
      </c>
      <c r="I92" s="107">
        <v>0</v>
      </c>
      <c r="J92" s="107">
        <v>0</v>
      </c>
      <c r="K92" s="107">
        <v>26386</v>
      </c>
    </row>
    <row r="93" spans="1:11" ht="18" customHeight="1" x14ac:dyDescent="0.4">
      <c r="A93" s="1" t="s">
        <v>122</v>
      </c>
      <c r="B93" s="94" t="s">
        <v>123</v>
      </c>
      <c r="F93" s="107">
        <v>500</v>
      </c>
      <c r="G93" s="107">
        <v>0</v>
      </c>
      <c r="H93" s="107">
        <v>51458</v>
      </c>
      <c r="I93" s="107">
        <v>33170</v>
      </c>
      <c r="J93" s="107">
        <v>0</v>
      </c>
      <c r="K93" s="107">
        <v>84628</v>
      </c>
    </row>
    <row r="94" spans="1:11" ht="18" customHeight="1" x14ac:dyDescent="0.4">
      <c r="A94" s="1" t="s">
        <v>124</v>
      </c>
      <c r="B94" s="655"/>
      <c r="C94" s="653"/>
      <c r="D94" s="654"/>
      <c r="F94" s="306"/>
      <c r="G94" s="306"/>
      <c r="H94" s="307"/>
      <c r="I94" s="115"/>
      <c r="J94" s="307"/>
      <c r="K94" s="308"/>
    </row>
    <row r="95" spans="1:11" ht="18" customHeight="1" x14ac:dyDescent="0.4">
      <c r="A95" s="1" t="s">
        <v>125</v>
      </c>
      <c r="B95" s="655"/>
      <c r="C95" s="653"/>
      <c r="D95" s="654"/>
      <c r="F95" s="306"/>
      <c r="G95" s="306"/>
      <c r="H95" s="307"/>
      <c r="I95" s="115"/>
      <c r="J95" s="307"/>
      <c r="K95" s="308"/>
    </row>
    <row r="96" spans="1:11" ht="18" customHeight="1" x14ac:dyDescent="0.4">
      <c r="A96" s="1" t="s">
        <v>126</v>
      </c>
      <c r="B96" s="655"/>
      <c r="C96" s="653"/>
      <c r="D96" s="654"/>
      <c r="F96" s="306"/>
      <c r="G96" s="306"/>
      <c r="H96" s="307"/>
      <c r="I96" s="115"/>
      <c r="J96" s="307"/>
      <c r="K96" s="308"/>
    </row>
    <row r="97" spans="1:16" ht="18" customHeight="1" x14ac:dyDescent="0.4">
      <c r="A97" s="1"/>
      <c r="B97" s="94"/>
    </row>
    <row r="98" spans="1:16" ht="18" customHeight="1" x14ac:dyDescent="0.4">
      <c r="A98" s="98" t="s">
        <v>150</v>
      </c>
      <c r="B98" s="95" t="s">
        <v>151</v>
      </c>
      <c r="E98" s="95" t="s">
        <v>7</v>
      </c>
      <c r="F98" s="310">
        <v>843.5</v>
      </c>
      <c r="G98" s="310">
        <v>0</v>
      </c>
      <c r="H98" s="310">
        <v>144536</v>
      </c>
      <c r="I98" s="310">
        <v>39140</v>
      </c>
      <c r="J98" s="310">
        <v>0</v>
      </c>
      <c r="K98" s="310">
        <v>183676</v>
      </c>
    </row>
    <row r="99" spans="1:16" ht="18" customHeight="1" thickBot="1" x14ac:dyDescent="0.45">
      <c r="B99" s="95"/>
      <c r="F99" s="103"/>
      <c r="G99" s="103"/>
      <c r="H99" s="103"/>
      <c r="I99" s="103"/>
      <c r="J99" s="103"/>
      <c r="K99" s="103"/>
    </row>
    <row r="100" spans="1:16" ht="42.75" customHeight="1" x14ac:dyDescent="0.4">
      <c r="F100" s="99" t="s">
        <v>9</v>
      </c>
      <c r="G100" s="99" t="s">
        <v>37</v>
      </c>
      <c r="H100" s="99" t="s">
        <v>29</v>
      </c>
      <c r="I100" s="99" t="s">
        <v>30</v>
      </c>
      <c r="J100" s="99" t="s">
        <v>33</v>
      </c>
      <c r="K100" s="99" t="s">
        <v>34</v>
      </c>
    </row>
    <row r="101" spans="1:16" ht="18" customHeight="1" x14ac:dyDescent="0.4">
      <c r="A101" s="98" t="s">
        <v>130</v>
      </c>
      <c r="B101" s="95" t="s">
        <v>63</v>
      </c>
    </row>
    <row r="102" spans="1:16" ht="18" customHeight="1" x14ac:dyDescent="0.4">
      <c r="A102" s="1" t="s">
        <v>131</v>
      </c>
      <c r="B102" s="94" t="s">
        <v>152</v>
      </c>
      <c r="F102" s="306">
        <v>1413</v>
      </c>
      <c r="G102" s="306">
        <v>0</v>
      </c>
      <c r="H102" s="306">
        <v>119096</v>
      </c>
      <c r="I102" s="306">
        <v>53958</v>
      </c>
      <c r="J102" s="306">
        <v>0</v>
      </c>
      <c r="K102" s="306">
        <v>173054</v>
      </c>
    </row>
    <row r="103" spans="1:16" ht="18" customHeight="1" x14ac:dyDescent="0.4">
      <c r="A103" s="1" t="s">
        <v>132</v>
      </c>
      <c r="B103" s="635" t="s">
        <v>62</v>
      </c>
      <c r="C103" s="635"/>
      <c r="F103" s="306"/>
      <c r="G103" s="306"/>
      <c r="H103" s="307"/>
      <c r="I103" s="115"/>
      <c r="J103" s="307"/>
      <c r="K103" s="308"/>
    </row>
    <row r="104" spans="1:16" ht="18" customHeight="1" x14ac:dyDescent="0.4">
      <c r="A104" s="1" t="s">
        <v>128</v>
      </c>
      <c r="B104" s="655" t="s">
        <v>298</v>
      </c>
      <c r="C104" s="653"/>
      <c r="D104" s="654"/>
      <c r="F104" s="306">
        <v>0</v>
      </c>
      <c r="G104" s="306">
        <v>0</v>
      </c>
      <c r="H104" s="306">
        <v>112593</v>
      </c>
      <c r="I104" s="306">
        <v>0</v>
      </c>
      <c r="J104" s="306">
        <v>0</v>
      </c>
      <c r="K104" s="306">
        <v>112593</v>
      </c>
    </row>
    <row r="105" spans="1:16" ht="18" customHeight="1" x14ac:dyDescent="0.4">
      <c r="A105" s="1" t="s">
        <v>127</v>
      </c>
      <c r="B105" s="655"/>
      <c r="C105" s="653"/>
      <c r="D105" s="654"/>
      <c r="F105" s="306"/>
      <c r="G105" s="306"/>
      <c r="H105" s="307"/>
      <c r="I105" s="115"/>
      <c r="J105" s="307"/>
      <c r="K105" s="308"/>
    </row>
    <row r="106" spans="1:16" ht="18" customHeight="1" x14ac:dyDescent="0.4">
      <c r="A106" s="1" t="s">
        <v>129</v>
      </c>
      <c r="B106" s="655"/>
      <c r="C106" s="653"/>
      <c r="D106" s="654"/>
      <c r="F106" s="306"/>
      <c r="G106" s="306"/>
      <c r="H106" s="307"/>
      <c r="I106" s="115"/>
      <c r="J106" s="307"/>
      <c r="K106" s="308"/>
    </row>
    <row r="107" spans="1:16" ht="18" customHeight="1" x14ac:dyDescent="0.4">
      <c r="B107" s="95"/>
    </row>
    <row r="108" spans="1:16" ht="18" customHeight="1" x14ac:dyDescent="0.4">
      <c r="A108" s="98" t="s">
        <v>153</v>
      </c>
      <c r="B108" s="95" t="s">
        <v>154</v>
      </c>
      <c r="E108" s="95" t="s">
        <v>7</v>
      </c>
      <c r="F108" s="310">
        <v>1413</v>
      </c>
      <c r="G108" s="310">
        <v>0</v>
      </c>
      <c r="H108" s="351">
        <v>231689</v>
      </c>
      <c r="I108" s="351">
        <v>53958</v>
      </c>
      <c r="J108" s="351">
        <v>0</v>
      </c>
      <c r="K108" s="351">
        <v>285647</v>
      </c>
      <c r="N108" s="220"/>
      <c r="O108" s="220"/>
    </row>
    <row r="109" spans="1:16" ht="18" customHeight="1" thickBot="1" x14ac:dyDescent="0.45">
      <c r="A109" s="100"/>
      <c r="B109" s="101"/>
      <c r="C109" s="102"/>
      <c r="D109" s="102"/>
      <c r="E109" s="102"/>
      <c r="F109" s="103"/>
      <c r="G109" s="103"/>
      <c r="H109" s="103"/>
      <c r="I109" s="103"/>
      <c r="J109" s="103"/>
      <c r="K109" s="103"/>
      <c r="N109" s="220"/>
      <c r="O109" s="220"/>
    </row>
    <row r="110" spans="1:16" ht="18" customHeight="1" x14ac:dyDescent="0.4">
      <c r="A110" s="98" t="s">
        <v>156</v>
      </c>
      <c r="B110" s="95" t="s">
        <v>39</v>
      </c>
      <c r="N110" s="221"/>
      <c r="O110" s="221"/>
    </row>
    <row r="111" spans="1:16" ht="12.3" x14ac:dyDescent="0.4">
      <c r="A111" s="98" t="s">
        <v>155</v>
      </c>
      <c r="B111" s="95" t="s">
        <v>164</v>
      </c>
      <c r="E111" s="95" t="s">
        <v>7</v>
      </c>
      <c r="F111" s="319">
        <v>9977661</v>
      </c>
      <c r="N111" s="512"/>
      <c r="O111" s="513"/>
      <c r="P111" s="513"/>
    </row>
    <row r="112" spans="1:16" ht="12.3" x14ac:dyDescent="0.4">
      <c r="B112" s="95"/>
      <c r="E112" s="95"/>
      <c r="N112" s="512"/>
      <c r="O112" s="513"/>
      <c r="P112" s="513"/>
    </row>
    <row r="113" spans="1:16" ht="12.3" x14ac:dyDescent="0.4">
      <c r="A113" s="98"/>
      <c r="B113" s="95" t="s">
        <v>15</v>
      </c>
      <c r="N113" s="512"/>
      <c r="O113" s="513"/>
      <c r="P113" s="513"/>
    </row>
    <row r="114" spans="1:16" ht="12.3" x14ac:dyDescent="0.4">
      <c r="A114" s="1" t="s">
        <v>171</v>
      </c>
      <c r="B114" s="94" t="s">
        <v>35</v>
      </c>
      <c r="F114" s="350">
        <v>0.69310000000000005</v>
      </c>
      <c r="N114" s="512"/>
      <c r="O114" s="513"/>
      <c r="P114" s="513"/>
    </row>
    <row r="115" spans="1:16" ht="12.3" x14ac:dyDescent="0.4">
      <c r="A115" s="1"/>
      <c r="B115" s="95"/>
      <c r="N115" s="512"/>
      <c r="O115" s="513"/>
      <c r="P115" s="513"/>
    </row>
    <row r="116" spans="1:16" ht="12.3" x14ac:dyDescent="0.4">
      <c r="A116" s="1" t="s">
        <v>170</v>
      </c>
      <c r="B116" s="95" t="s">
        <v>16</v>
      </c>
      <c r="N116" s="512"/>
      <c r="O116" s="513"/>
      <c r="P116" s="513"/>
    </row>
    <row r="117" spans="1:16" ht="14.4" x14ac:dyDescent="0.55000000000000004">
      <c r="A117" s="1" t="s">
        <v>172</v>
      </c>
      <c r="B117" s="94" t="s">
        <v>17</v>
      </c>
      <c r="F117" s="319">
        <v>420854576.83999985</v>
      </c>
      <c r="N117" s="512"/>
      <c r="O117" s="510"/>
      <c r="P117" s="513"/>
    </row>
    <row r="118" spans="1:16" ht="12.3" x14ac:dyDescent="0.4">
      <c r="A118" s="1" t="s">
        <v>173</v>
      </c>
      <c r="B118" t="s">
        <v>18</v>
      </c>
      <c r="F118" s="319">
        <v>21859350.649999991</v>
      </c>
      <c r="N118" s="512"/>
      <c r="O118" s="513"/>
      <c r="P118" s="513"/>
    </row>
    <row r="119" spans="1:16" ht="12.3" x14ac:dyDescent="0.4">
      <c r="A119" s="1" t="s">
        <v>174</v>
      </c>
      <c r="B119" s="95" t="s">
        <v>19</v>
      </c>
      <c r="F119" s="351">
        <v>442713927.48999983</v>
      </c>
      <c r="N119" s="512"/>
      <c r="O119" s="513"/>
      <c r="P119" s="513"/>
    </row>
    <row r="120" spans="1:16" ht="12.3" x14ac:dyDescent="0.4">
      <c r="A120" s="1"/>
      <c r="B120" s="95"/>
      <c r="N120" s="218"/>
      <c r="O120" s="218"/>
    </row>
    <row r="121" spans="1:16" ht="12.3" x14ac:dyDescent="0.4">
      <c r="A121" s="1" t="s">
        <v>167</v>
      </c>
      <c r="B121" s="95" t="s">
        <v>36</v>
      </c>
      <c r="F121" s="319">
        <v>430645261</v>
      </c>
    </row>
    <row r="122" spans="1:16" ht="12.3" x14ac:dyDescent="0.4">
      <c r="A122" s="1"/>
    </row>
    <row r="123" spans="1:16" ht="12.3" x14ac:dyDescent="0.4">
      <c r="A123" s="1" t="s">
        <v>175</v>
      </c>
      <c r="B123" s="95" t="s">
        <v>20</v>
      </c>
      <c r="F123" s="319">
        <v>12068666.489999831</v>
      </c>
    </row>
    <row r="124" spans="1:16" ht="12.3" x14ac:dyDescent="0.4">
      <c r="A124" s="1"/>
    </row>
    <row r="125" spans="1:16" ht="12.3" x14ac:dyDescent="0.4">
      <c r="A125" s="1" t="s">
        <v>176</v>
      </c>
      <c r="B125" s="95" t="s">
        <v>21</v>
      </c>
      <c r="F125" s="319">
        <v>2717353</v>
      </c>
    </row>
    <row r="126" spans="1:16" ht="12.3" x14ac:dyDescent="0.4">
      <c r="A126" s="1"/>
    </row>
    <row r="127" spans="1:16" ht="12.3" x14ac:dyDescent="0.4">
      <c r="A127" s="1" t="s">
        <v>177</v>
      </c>
      <c r="B127" s="95" t="s">
        <v>22</v>
      </c>
      <c r="F127" s="319">
        <v>14786019.489999831</v>
      </c>
    </row>
    <row r="128" spans="1:16" ht="12.3" x14ac:dyDescent="0.4">
      <c r="A128" s="1"/>
    </row>
    <row r="129" spans="1:11" ht="24.6" x14ac:dyDescent="0.4">
      <c r="F129" s="99" t="s">
        <v>9</v>
      </c>
      <c r="G129" s="99" t="s">
        <v>37</v>
      </c>
      <c r="H129" s="99" t="s">
        <v>29</v>
      </c>
      <c r="I129" s="99" t="s">
        <v>30</v>
      </c>
      <c r="J129" s="99" t="s">
        <v>33</v>
      </c>
      <c r="K129" s="99" t="s">
        <v>34</v>
      </c>
    </row>
    <row r="130" spans="1:11" ht="12.3" x14ac:dyDescent="0.4">
      <c r="A130" s="98" t="s">
        <v>157</v>
      </c>
      <c r="B130" s="95" t="s">
        <v>23</v>
      </c>
    </row>
    <row r="131" spans="1:11" ht="12.3" x14ac:dyDescent="0.4">
      <c r="A131" s="1" t="s">
        <v>158</v>
      </c>
      <c r="B131" t="s">
        <v>24</v>
      </c>
      <c r="F131" s="306">
        <v>0</v>
      </c>
      <c r="G131" s="306">
        <v>0</v>
      </c>
      <c r="H131" s="307">
        <v>0</v>
      </c>
      <c r="I131" s="115">
        <v>0</v>
      </c>
      <c r="J131" s="307">
        <v>0</v>
      </c>
      <c r="K131" s="308">
        <v>0</v>
      </c>
    </row>
    <row r="132" spans="1:11" ht="12.3" x14ac:dyDescent="0.4">
      <c r="A132" s="1" t="s">
        <v>159</v>
      </c>
      <c r="B132" t="s">
        <v>25</v>
      </c>
      <c r="F132" s="306">
        <v>0</v>
      </c>
      <c r="G132" s="306">
        <v>0</v>
      </c>
      <c r="H132" s="307">
        <v>0</v>
      </c>
      <c r="I132" s="115">
        <v>0</v>
      </c>
      <c r="J132" s="307">
        <v>0</v>
      </c>
      <c r="K132" s="308">
        <v>0</v>
      </c>
    </row>
    <row r="133" spans="1:11" ht="12.3" x14ac:dyDescent="0.4">
      <c r="A133" s="1" t="s">
        <v>160</v>
      </c>
      <c r="B133" s="630"/>
      <c r="C133" s="631"/>
      <c r="D133" s="632"/>
      <c r="F133" s="306"/>
      <c r="G133" s="306"/>
      <c r="H133" s="307"/>
      <c r="I133" s="115"/>
      <c r="J133" s="307"/>
      <c r="K133" s="308"/>
    </row>
    <row r="134" spans="1:11" ht="12.3" x14ac:dyDescent="0.4">
      <c r="A134" s="1" t="s">
        <v>161</v>
      </c>
      <c r="B134" s="630"/>
      <c r="C134" s="631"/>
      <c r="D134" s="632"/>
      <c r="F134" s="306"/>
      <c r="G134" s="306"/>
      <c r="H134" s="307"/>
      <c r="I134" s="115"/>
      <c r="J134" s="307"/>
      <c r="K134" s="308"/>
    </row>
    <row r="135" spans="1:11" ht="12.3" x14ac:dyDescent="0.4">
      <c r="A135" s="1" t="s">
        <v>162</v>
      </c>
      <c r="B135" s="630"/>
      <c r="C135" s="631"/>
      <c r="D135" s="632"/>
      <c r="F135" s="306"/>
      <c r="G135" s="306"/>
      <c r="H135" s="307"/>
      <c r="I135" s="115"/>
      <c r="J135" s="307"/>
      <c r="K135" s="308"/>
    </row>
    <row r="136" spans="1:11" ht="12.3" x14ac:dyDescent="0.4">
      <c r="A136" s="98"/>
    </row>
    <row r="137" spans="1:11" ht="12.3" x14ac:dyDescent="0.4">
      <c r="A137" s="98" t="s">
        <v>163</v>
      </c>
      <c r="B137" s="95" t="s">
        <v>27</v>
      </c>
      <c r="F137" s="310">
        <v>0</v>
      </c>
      <c r="G137" s="310">
        <v>0</v>
      </c>
      <c r="H137" s="308">
        <v>0</v>
      </c>
      <c r="I137" s="308">
        <v>0</v>
      </c>
      <c r="J137" s="308">
        <v>0</v>
      </c>
      <c r="K137" s="308">
        <v>0</v>
      </c>
    </row>
    <row r="138" spans="1:11" ht="12.3" x14ac:dyDescent="0.4">
      <c r="A138"/>
    </row>
    <row r="139" spans="1:11" ht="24.6" x14ac:dyDescent="0.4">
      <c r="F139" s="99" t="s">
        <v>9</v>
      </c>
      <c r="G139" s="99" t="s">
        <v>37</v>
      </c>
      <c r="H139" s="99" t="s">
        <v>29</v>
      </c>
      <c r="I139" s="99" t="s">
        <v>30</v>
      </c>
      <c r="J139" s="99" t="s">
        <v>33</v>
      </c>
      <c r="K139" s="99" t="s">
        <v>34</v>
      </c>
    </row>
    <row r="140" spans="1:11" ht="12.3" x14ac:dyDescent="0.4">
      <c r="A140" s="98" t="s">
        <v>166</v>
      </c>
      <c r="B140" s="95" t="s">
        <v>26</v>
      </c>
    </row>
    <row r="141" spans="1:11" ht="12.3" x14ac:dyDescent="0.4">
      <c r="A141" s="1" t="s">
        <v>137</v>
      </c>
      <c r="B141" s="95" t="s">
        <v>64</v>
      </c>
      <c r="F141" s="109">
        <v>16720</v>
      </c>
      <c r="G141" s="109">
        <v>44988</v>
      </c>
      <c r="H141" s="351">
        <v>1359989</v>
      </c>
      <c r="I141" s="351">
        <v>266528</v>
      </c>
      <c r="J141" s="351">
        <v>51843</v>
      </c>
      <c r="K141" s="351">
        <v>1574674</v>
      </c>
    </row>
    <row r="142" spans="1:11" ht="12.3" x14ac:dyDescent="0.4">
      <c r="A142" s="1" t="s">
        <v>142</v>
      </c>
      <c r="B142" s="95" t="s">
        <v>65</v>
      </c>
      <c r="F142" s="109">
        <v>225768</v>
      </c>
      <c r="G142" s="109">
        <v>0</v>
      </c>
      <c r="H142" s="351">
        <v>15486021</v>
      </c>
      <c r="I142" s="351">
        <v>10733926</v>
      </c>
      <c r="J142" s="351">
        <v>0</v>
      </c>
      <c r="K142" s="351">
        <v>26219947</v>
      </c>
    </row>
    <row r="143" spans="1:11" ht="12.3" x14ac:dyDescent="0.4">
      <c r="A143" s="1" t="s">
        <v>144</v>
      </c>
      <c r="B143" s="95" t="s">
        <v>66</v>
      </c>
      <c r="F143" s="109">
        <v>0</v>
      </c>
      <c r="G143" s="109">
        <v>0</v>
      </c>
      <c r="H143" s="351">
        <v>6648613</v>
      </c>
      <c r="I143" s="351">
        <v>0</v>
      </c>
      <c r="J143" s="351">
        <v>3067948</v>
      </c>
      <c r="K143" s="351">
        <v>3580665</v>
      </c>
    </row>
    <row r="144" spans="1:11" ht="12.3" x14ac:dyDescent="0.4">
      <c r="A144" s="1" t="s">
        <v>146</v>
      </c>
      <c r="B144" s="95" t="s">
        <v>67</v>
      </c>
      <c r="F144" s="109">
        <v>0</v>
      </c>
      <c r="G144" s="109">
        <v>0</v>
      </c>
      <c r="H144" s="351">
        <v>1422927</v>
      </c>
      <c r="I144" s="351">
        <v>986088</v>
      </c>
      <c r="J144" s="351">
        <v>27203</v>
      </c>
      <c r="K144" s="351">
        <v>2381812</v>
      </c>
    </row>
    <row r="145" spans="1:13" ht="12.3" x14ac:dyDescent="0.4">
      <c r="A145" s="1" t="s">
        <v>148</v>
      </c>
      <c r="B145" s="95" t="s">
        <v>68</v>
      </c>
      <c r="F145" s="109">
        <v>0</v>
      </c>
      <c r="G145" s="109">
        <v>0</v>
      </c>
      <c r="H145" s="351">
        <v>81308</v>
      </c>
      <c r="I145" s="351">
        <v>0</v>
      </c>
      <c r="J145" s="351">
        <v>0</v>
      </c>
      <c r="K145" s="351">
        <v>81308</v>
      </c>
    </row>
    <row r="146" spans="1:13" ht="12.3" x14ac:dyDescent="0.4">
      <c r="A146" s="1" t="s">
        <v>150</v>
      </c>
      <c r="B146" s="95" t="s">
        <v>69</v>
      </c>
      <c r="F146" s="109">
        <v>843.5</v>
      </c>
      <c r="G146" s="109">
        <v>0</v>
      </c>
      <c r="H146" s="351">
        <v>144536</v>
      </c>
      <c r="I146" s="351">
        <v>39140</v>
      </c>
      <c r="J146" s="351">
        <v>0</v>
      </c>
      <c r="K146" s="351">
        <v>183676</v>
      </c>
    </row>
    <row r="147" spans="1:13" ht="12.3" x14ac:dyDescent="0.4">
      <c r="A147" s="1" t="s">
        <v>153</v>
      </c>
      <c r="B147" s="95" t="s">
        <v>61</v>
      </c>
      <c r="F147" s="310">
        <v>1413</v>
      </c>
      <c r="G147" s="310">
        <v>0</v>
      </c>
      <c r="H147" s="351">
        <v>231689</v>
      </c>
      <c r="I147" s="351">
        <v>53958</v>
      </c>
      <c r="J147" s="351">
        <v>0</v>
      </c>
      <c r="K147" s="351">
        <v>285647</v>
      </c>
    </row>
    <row r="148" spans="1:13" ht="12.3" x14ac:dyDescent="0.4">
      <c r="A148" s="1" t="s">
        <v>155</v>
      </c>
      <c r="B148" s="95" t="s">
        <v>70</v>
      </c>
      <c r="F148" s="110" t="s">
        <v>73</v>
      </c>
      <c r="G148" s="110" t="s">
        <v>73</v>
      </c>
      <c r="H148" s="351" t="s">
        <v>73</v>
      </c>
      <c r="I148" s="351" t="s">
        <v>73</v>
      </c>
      <c r="J148" s="351" t="s">
        <v>73</v>
      </c>
      <c r="K148" s="351">
        <v>9977661</v>
      </c>
    </row>
    <row r="149" spans="1:13" ht="12.3" x14ac:dyDescent="0.4">
      <c r="A149" s="1" t="s">
        <v>163</v>
      </c>
      <c r="B149" s="95" t="s">
        <v>71</v>
      </c>
      <c r="F149" s="310">
        <v>0</v>
      </c>
      <c r="G149" s="310">
        <v>0</v>
      </c>
      <c r="H149" s="351">
        <v>0</v>
      </c>
      <c r="I149" s="351">
        <v>0</v>
      </c>
      <c r="J149" s="351">
        <v>0</v>
      </c>
      <c r="K149" s="351">
        <v>0</v>
      </c>
    </row>
    <row r="150" spans="1:13" ht="18" customHeight="1" x14ac:dyDescent="0.4">
      <c r="A150" s="1" t="s">
        <v>185</v>
      </c>
      <c r="B150" s="95" t="s">
        <v>186</v>
      </c>
      <c r="F150" s="110" t="s">
        <v>73</v>
      </c>
      <c r="G150" s="110" t="s">
        <v>73</v>
      </c>
      <c r="H150" s="307">
        <v>8032218.3700000001</v>
      </c>
      <c r="I150" s="229">
        <v>0</v>
      </c>
      <c r="J150" s="307">
        <v>6656862.8499999996</v>
      </c>
      <c r="K150" s="308">
        <f>H150-J150</f>
        <v>1375355.5200000005</v>
      </c>
    </row>
    <row r="151" spans="1:13" ht="18" customHeight="1" x14ac:dyDescent="0.4">
      <c r="B151" s="95"/>
      <c r="F151" s="113"/>
      <c r="G151" s="113"/>
      <c r="H151" s="222"/>
      <c r="I151" s="222"/>
      <c r="J151" s="222"/>
      <c r="K151" s="222"/>
    </row>
    <row r="152" spans="1:13" ht="18" customHeight="1" x14ac:dyDescent="0.4">
      <c r="A152" s="98" t="s">
        <v>165</v>
      </c>
      <c r="B152" s="95" t="s">
        <v>26</v>
      </c>
      <c r="F152" s="114">
        <v>244744.5</v>
      </c>
      <c r="G152" s="114">
        <v>44988</v>
      </c>
      <c r="H152" s="351">
        <f>SUM(H141:H150)</f>
        <v>33407301.370000001</v>
      </c>
      <c r="I152" s="351">
        <f t="shared" ref="I152:K152" si="0">SUM(I141:I150)</f>
        <v>12079640</v>
      </c>
      <c r="J152" s="351">
        <f t="shared" si="0"/>
        <v>9803856.8499999996</v>
      </c>
      <c r="K152" s="351">
        <f t="shared" si="0"/>
        <v>45660745.520000003</v>
      </c>
    </row>
    <row r="153" spans="1:13" ht="18" customHeight="1" x14ac:dyDescent="0.55000000000000004">
      <c r="K153" s="223"/>
      <c r="L153" s="224"/>
      <c r="M153" s="225"/>
    </row>
    <row r="154" spans="1:13" ht="18" customHeight="1" x14ac:dyDescent="0.55000000000000004">
      <c r="A154" s="98" t="s">
        <v>168</v>
      </c>
      <c r="B154" s="95" t="s">
        <v>28</v>
      </c>
      <c r="F154" s="318">
        <v>0.10602868563785263</v>
      </c>
      <c r="H154" s="87"/>
      <c r="I154" s="87"/>
      <c r="K154" s="223"/>
      <c r="L154" s="224"/>
      <c r="M154" s="225"/>
    </row>
    <row r="155" spans="1:13" ht="18" customHeight="1" x14ac:dyDescent="0.55000000000000004">
      <c r="A155" s="98" t="s">
        <v>169</v>
      </c>
      <c r="B155" s="95" t="s">
        <v>72</v>
      </c>
      <c r="F155" s="318">
        <v>3.0881029901848533</v>
      </c>
      <c r="G155" s="95"/>
      <c r="I155" s="87"/>
      <c r="K155" s="225"/>
      <c r="L155" s="224"/>
      <c r="M155" s="225"/>
    </row>
    <row r="156" spans="1:13" ht="18" customHeight="1" x14ac:dyDescent="0.4">
      <c r="G156" s="95"/>
    </row>
    <row r="158" spans="1:13" ht="18" customHeight="1" x14ac:dyDescent="0.55000000000000004">
      <c r="B158" s="225"/>
      <c r="C158" s="225"/>
      <c r="D158" s="225"/>
      <c r="E158" s="225"/>
      <c r="F158" s="226"/>
      <c r="G158" s="226"/>
      <c r="H158" s="223"/>
      <c r="I158" s="223"/>
      <c r="J158" s="223"/>
      <c r="K158" s="223"/>
    </row>
    <row r="159" spans="1:13" ht="18" customHeight="1" x14ac:dyDescent="0.55000000000000004">
      <c r="B159" s="225"/>
      <c r="C159" s="225"/>
      <c r="D159" s="225"/>
      <c r="E159" s="225"/>
      <c r="F159" s="226"/>
      <c r="G159" s="226"/>
      <c r="H159" s="226"/>
      <c r="I159" s="226"/>
      <c r="J159" s="226"/>
      <c r="K159" s="226"/>
    </row>
    <row r="162" spans="11:11" ht="18" customHeight="1" x14ac:dyDescent="0.4">
      <c r="K162" s="87"/>
    </row>
  </sheetData>
  <mergeCells count="30">
    <mergeCell ref="B134:D134"/>
    <mergeCell ref="B135:D135"/>
    <mergeCell ref="B94:D94"/>
    <mergeCell ref="B95:D95"/>
    <mergeCell ref="D2:H2"/>
    <mergeCell ref="C5:G5"/>
    <mergeCell ref="C6:G6"/>
    <mergeCell ref="B106:D106"/>
    <mergeCell ref="B133:D133"/>
    <mergeCell ref="C7:G7"/>
    <mergeCell ref="C9:G9"/>
    <mergeCell ref="C10:G10"/>
    <mergeCell ref="C11:G11"/>
    <mergeCell ref="B13:H13"/>
    <mergeCell ref="B96:D96"/>
    <mergeCell ref="B103:C103"/>
    <mergeCell ref="B104:D104"/>
    <mergeCell ref="B105:D105"/>
    <mergeCell ref="B30:D30"/>
    <mergeCell ref="B31:D31"/>
    <mergeCell ref="B34:D34"/>
    <mergeCell ref="B90:C90"/>
    <mergeCell ref="B44:D44"/>
    <mergeCell ref="B45:D45"/>
    <mergeCell ref="B46:D46"/>
    <mergeCell ref="B47:D47"/>
    <mergeCell ref="B52:C52"/>
    <mergeCell ref="B54:D54"/>
    <mergeCell ref="B55:D55"/>
    <mergeCell ref="B41:C41"/>
  </mergeCells>
  <hyperlinks>
    <hyperlink ref="C11" r:id="rId1" xr:uid="{BC9FF856-5DD4-4D42-B381-60AD2CBED3B6}"/>
  </hyperlinks>
  <pageMargins left="0.7" right="0.7" top="0.75" bottom="0.75" header="0.3" footer="0.3"/>
  <pageSetup paperSize="218" scale="5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A1:T156"/>
  <sheetViews>
    <sheetView showGridLines="0" topLeftCell="A133" zoomScale="85" zoomScaleNormal="85" zoomScaleSheetLayoutView="8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 min="12" max="12" width="5.5546875" customWidth="1"/>
    <col min="13" max="13" width="46.88671875" customWidth="1"/>
    <col min="14" max="14" width="4" customWidth="1"/>
    <col min="15" max="19" width="17.5546875" customWidth="1"/>
    <col min="20" max="20" width="19.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52" t="s">
        <v>749</v>
      </c>
      <c r="D5" s="753"/>
      <c r="E5" s="753"/>
      <c r="F5" s="753"/>
      <c r="G5" s="754"/>
    </row>
    <row r="6" spans="1:11" ht="18" customHeight="1" x14ac:dyDescent="0.4">
      <c r="B6" s="1" t="s">
        <v>3</v>
      </c>
      <c r="C6" s="755">
        <v>210027</v>
      </c>
      <c r="D6" s="756"/>
      <c r="E6" s="756"/>
      <c r="F6" s="756"/>
      <c r="G6" s="757"/>
    </row>
    <row r="7" spans="1:11" ht="18" customHeight="1" x14ac:dyDescent="0.4">
      <c r="B7" s="1" t="s">
        <v>4</v>
      </c>
      <c r="C7" s="758">
        <v>2096</v>
      </c>
      <c r="D7" s="759"/>
      <c r="E7" s="759"/>
      <c r="F7" s="759"/>
      <c r="G7" s="760"/>
    </row>
    <row r="9" spans="1:11" ht="18" customHeight="1" x14ac:dyDescent="0.4">
      <c r="B9" s="1" t="s">
        <v>1</v>
      </c>
      <c r="C9" s="752" t="s">
        <v>441</v>
      </c>
      <c r="D9" s="753"/>
      <c r="E9" s="753"/>
      <c r="F9" s="753"/>
      <c r="G9" s="754"/>
    </row>
    <row r="10" spans="1:11" ht="18" customHeight="1" x14ac:dyDescent="0.4">
      <c r="B10" s="1" t="s">
        <v>2</v>
      </c>
      <c r="C10" s="761" t="s">
        <v>342</v>
      </c>
      <c r="D10" s="762"/>
      <c r="E10" s="762"/>
      <c r="F10" s="762"/>
      <c r="G10" s="763"/>
    </row>
    <row r="11" spans="1:11" ht="18" customHeight="1" x14ac:dyDescent="0.4">
      <c r="B11" s="1" t="s">
        <v>32</v>
      </c>
      <c r="C11" s="750" t="s">
        <v>540</v>
      </c>
      <c r="D11" s="751"/>
      <c r="E11" s="751"/>
      <c r="F11" s="751"/>
      <c r="G11" s="751"/>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11" t="s">
        <v>73</v>
      </c>
      <c r="G18" s="311" t="s">
        <v>73</v>
      </c>
      <c r="H18" s="352">
        <v>6042287.3099999996</v>
      </c>
      <c r="I18" s="116"/>
      <c r="J18" s="352">
        <v>5007667.38</v>
      </c>
      <c r="K18" s="353">
        <f>H18-J18</f>
        <v>1034619.9299999997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1544</v>
      </c>
      <c r="G21" s="306">
        <v>3397</v>
      </c>
      <c r="H21" s="307">
        <v>63171</v>
      </c>
      <c r="I21" s="115">
        <f t="shared" ref="I21:I30" si="0">H21*F$114</f>
        <v>50410.458000000006</v>
      </c>
      <c r="J21" s="307">
        <v>1704</v>
      </c>
      <c r="K21" s="308">
        <f t="shared" ref="K21:K30" si="1">(H21+I21)-J21</f>
        <v>111877.45800000001</v>
      </c>
    </row>
    <row r="22" spans="1:11" ht="18" customHeight="1" x14ac:dyDescent="0.4">
      <c r="A22" s="1" t="s">
        <v>76</v>
      </c>
      <c r="B22" t="s">
        <v>6</v>
      </c>
      <c r="F22" s="306">
        <v>71</v>
      </c>
      <c r="G22" s="306">
        <v>153</v>
      </c>
      <c r="H22" s="307">
        <v>3292</v>
      </c>
      <c r="I22" s="115">
        <f t="shared" si="0"/>
        <v>2627.0160000000001</v>
      </c>
      <c r="J22" s="307">
        <v>0</v>
      </c>
      <c r="K22" s="308">
        <f t="shared" si="1"/>
        <v>5919.0159999999996</v>
      </c>
    </row>
    <row r="23" spans="1:11" ht="18" customHeight="1" x14ac:dyDescent="0.4">
      <c r="A23" s="1" t="s">
        <v>77</v>
      </c>
      <c r="B23" t="s">
        <v>43</v>
      </c>
      <c r="F23" s="306">
        <v>285</v>
      </c>
      <c r="G23" s="306">
        <v>2142</v>
      </c>
      <c r="H23" s="307">
        <v>17058</v>
      </c>
      <c r="I23" s="115">
        <f t="shared" si="0"/>
        <v>13612.284000000001</v>
      </c>
      <c r="J23" s="307">
        <v>0</v>
      </c>
      <c r="K23" s="308">
        <f t="shared" si="1"/>
        <v>30670.284</v>
      </c>
    </row>
    <row r="24" spans="1:11" ht="18" customHeight="1" x14ac:dyDescent="0.4">
      <c r="A24" s="1" t="s">
        <v>78</v>
      </c>
      <c r="B24" t="s">
        <v>44</v>
      </c>
      <c r="F24" s="306">
        <v>0</v>
      </c>
      <c r="G24" s="306">
        <v>0</v>
      </c>
      <c r="H24" s="306">
        <v>0</v>
      </c>
      <c r="I24" s="115">
        <f t="shared" si="0"/>
        <v>0</v>
      </c>
      <c r="J24" s="307">
        <v>0</v>
      </c>
      <c r="K24" s="308">
        <f t="shared" si="1"/>
        <v>0</v>
      </c>
    </row>
    <row r="25" spans="1:11" ht="18" customHeight="1" x14ac:dyDescent="0.4">
      <c r="A25" s="1" t="s">
        <v>79</v>
      </c>
      <c r="B25" t="s">
        <v>5</v>
      </c>
      <c r="F25" s="306">
        <v>0</v>
      </c>
      <c r="G25" s="306">
        <v>0</v>
      </c>
      <c r="H25" s="306">
        <v>0</v>
      </c>
      <c r="I25" s="115">
        <f t="shared" si="0"/>
        <v>0</v>
      </c>
      <c r="J25" s="307">
        <v>0</v>
      </c>
      <c r="K25" s="308">
        <f t="shared" si="1"/>
        <v>0</v>
      </c>
    </row>
    <row r="26" spans="1:11" ht="18" customHeight="1" x14ac:dyDescent="0.4">
      <c r="A26" s="1" t="s">
        <v>80</v>
      </c>
      <c r="B26" t="s">
        <v>45</v>
      </c>
      <c r="F26" s="306">
        <v>0</v>
      </c>
      <c r="G26" s="306">
        <v>0</v>
      </c>
      <c r="H26" s="306">
        <v>0</v>
      </c>
      <c r="I26" s="115">
        <f t="shared" si="0"/>
        <v>0</v>
      </c>
      <c r="J26" s="307">
        <v>0</v>
      </c>
      <c r="K26" s="308">
        <f t="shared" si="1"/>
        <v>0</v>
      </c>
    </row>
    <row r="27" spans="1:11" ht="18" customHeight="1" x14ac:dyDescent="0.4">
      <c r="A27" s="1" t="s">
        <v>81</v>
      </c>
      <c r="B27" t="s">
        <v>455</v>
      </c>
      <c r="F27" s="306">
        <v>0</v>
      </c>
      <c r="G27" s="306">
        <v>0</v>
      </c>
      <c r="H27" s="306">
        <v>0</v>
      </c>
      <c r="I27" s="115">
        <f t="shared" si="0"/>
        <v>0</v>
      </c>
      <c r="J27" s="307">
        <v>0</v>
      </c>
      <c r="K27" s="308">
        <f t="shared" si="1"/>
        <v>0</v>
      </c>
    </row>
    <row r="28" spans="1:11" ht="18" customHeight="1" x14ac:dyDescent="0.4">
      <c r="A28" s="1" t="s">
        <v>82</v>
      </c>
      <c r="B28" t="s">
        <v>47</v>
      </c>
      <c r="F28" s="306">
        <v>0</v>
      </c>
      <c r="G28" s="306">
        <v>0</v>
      </c>
      <c r="H28" s="306">
        <v>0</v>
      </c>
      <c r="I28" s="115">
        <f t="shared" si="0"/>
        <v>0</v>
      </c>
      <c r="J28" s="307">
        <v>0</v>
      </c>
      <c r="K28" s="308">
        <f t="shared" si="1"/>
        <v>0</v>
      </c>
    </row>
    <row r="29" spans="1:11" ht="18" customHeight="1" x14ac:dyDescent="0.4">
      <c r="A29" s="1" t="s">
        <v>83</v>
      </c>
      <c r="B29" t="s">
        <v>48</v>
      </c>
      <c r="F29" s="311">
        <v>9501</v>
      </c>
      <c r="G29" s="311">
        <v>24003</v>
      </c>
      <c r="H29" s="514">
        <v>560809</v>
      </c>
      <c r="I29" s="115">
        <f t="shared" si="0"/>
        <v>447525.58199999999</v>
      </c>
      <c r="J29" s="307">
        <v>0</v>
      </c>
      <c r="K29" s="308">
        <f t="shared" si="1"/>
        <v>1008334.5819999999</v>
      </c>
    </row>
    <row r="30" spans="1:11" ht="18" customHeight="1" x14ac:dyDescent="0.4">
      <c r="A30" s="1" t="s">
        <v>84</v>
      </c>
      <c r="B30" s="764" t="s">
        <v>624</v>
      </c>
      <c r="C30" s="765"/>
      <c r="D30" s="766"/>
      <c r="F30" s="306">
        <v>0</v>
      </c>
      <c r="G30" s="306">
        <v>0</v>
      </c>
      <c r="H30" s="307">
        <v>92261</v>
      </c>
      <c r="I30" s="115">
        <f t="shared" si="0"/>
        <v>73624.278000000006</v>
      </c>
      <c r="J30" s="307">
        <v>0</v>
      </c>
      <c r="K30" s="308">
        <f t="shared" si="1"/>
        <v>165885.27799999999</v>
      </c>
    </row>
    <row r="31" spans="1:11" ht="18" customHeight="1" x14ac:dyDescent="0.4">
      <c r="A31" s="1" t="s">
        <v>133</v>
      </c>
      <c r="B31" s="630"/>
      <c r="C31" s="631"/>
      <c r="D31" s="632"/>
      <c r="F31" s="306"/>
      <c r="G31" s="306"/>
      <c r="H31" s="307"/>
      <c r="I31" s="115"/>
      <c r="J31" s="307"/>
      <c r="K31" s="308"/>
    </row>
    <row r="32" spans="1:11" ht="18" customHeight="1" x14ac:dyDescent="0.4">
      <c r="A32" s="1" t="s">
        <v>134</v>
      </c>
      <c r="B32" s="394"/>
      <c r="C32" s="395"/>
      <c r="D32" s="396"/>
      <c r="F32" s="306"/>
      <c r="G32" s="309" t="s">
        <v>85</v>
      </c>
      <c r="H32" s="307"/>
      <c r="I32" s="115"/>
      <c r="J32" s="307"/>
      <c r="K32" s="308"/>
    </row>
    <row r="33" spans="1:11" ht="18" customHeight="1" x14ac:dyDescent="0.4">
      <c r="A33" s="1" t="s">
        <v>135</v>
      </c>
      <c r="B33" s="394"/>
      <c r="C33" s="395"/>
      <c r="D33" s="396"/>
      <c r="F33" s="306"/>
      <c r="G33" s="309" t="s">
        <v>85</v>
      </c>
      <c r="H33" s="307"/>
      <c r="I33" s="115"/>
      <c r="J33" s="307"/>
      <c r="K33" s="308"/>
    </row>
    <row r="34" spans="1:11" ht="18" customHeight="1" x14ac:dyDescent="0.4">
      <c r="A34" s="1" t="s">
        <v>136</v>
      </c>
      <c r="B34" s="630"/>
      <c r="C34" s="631"/>
      <c r="D34" s="632"/>
      <c r="F34" s="306"/>
      <c r="G34" s="309" t="s">
        <v>85</v>
      </c>
      <c r="H34" s="307"/>
      <c r="I34" s="115"/>
      <c r="J34" s="307"/>
      <c r="K34" s="308"/>
    </row>
    <row r="35" spans="1:11" ht="18" customHeight="1" x14ac:dyDescent="0.4">
      <c r="K35" s="397"/>
    </row>
    <row r="36" spans="1:11" ht="18" customHeight="1" x14ac:dyDescent="0.4">
      <c r="A36" s="98" t="s">
        <v>137</v>
      </c>
      <c r="B36" s="95" t="s">
        <v>138</v>
      </c>
      <c r="E36" s="95" t="s">
        <v>7</v>
      </c>
      <c r="F36" s="310">
        <f t="shared" ref="F36:K36" si="2">SUM(F21:F34)</f>
        <v>11401</v>
      </c>
      <c r="G36" s="310">
        <f t="shared" si="2"/>
        <v>29695</v>
      </c>
      <c r="H36" s="310">
        <f t="shared" si="2"/>
        <v>736591</v>
      </c>
      <c r="I36" s="308">
        <f t="shared" si="2"/>
        <v>587799.61800000002</v>
      </c>
      <c r="J36" s="308">
        <f t="shared" si="2"/>
        <v>1704</v>
      </c>
      <c r="K36" s="308">
        <f t="shared" si="2"/>
        <v>1322686.6179999998</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18750</v>
      </c>
      <c r="G40" s="306">
        <v>75000</v>
      </c>
      <c r="H40" s="307">
        <v>2437500</v>
      </c>
      <c r="I40" s="115">
        <v>0</v>
      </c>
      <c r="J40" s="307"/>
      <c r="K40" s="308">
        <f t="shared" ref="K40:K43" si="3">(H40+I40)-J40</f>
        <v>2437500</v>
      </c>
    </row>
    <row r="41" spans="1:11" ht="18" customHeight="1" x14ac:dyDescent="0.4">
      <c r="A41" s="1" t="s">
        <v>88</v>
      </c>
      <c r="B41" s="635" t="s">
        <v>50</v>
      </c>
      <c r="C41" s="636"/>
      <c r="F41" s="306">
        <v>3758</v>
      </c>
      <c r="G41" s="306">
        <v>24427</v>
      </c>
      <c r="H41" s="307">
        <v>165175</v>
      </c>
      <c r="I41" s="115">
        <v>0</v>
      </c>
      <c r="J41" s="307"/>
      <c r="K41" s="308">
        <f t="shared" si="3"/>
        <v>165175</v>
      </c>
    </row>
    <row r="42" spans="1:11" ht="18" customHeight="1" x14ac:dyDescent="0.4">
      <c r="A42" s="1" t="s">
        <v>89</v>
      </c>
      <c r="B42" s="94" t="s">
        <v>11</v>
      </c>
      <c r="F42" s="306">
        <v>161</v>
      </c>
      <c r="G42" s="306">
        <v>1044</v>
      </c>
      <c r="H42" s="307">
        <v>7431</v>
      </c>
      <c r="I42" s="115">
        <v>0</v>
      </c>
      <c r="J42" s="307"/>
      <c r="K42" s="308">
        <f t="shared" si="3"/>
        <v>7431</v>
      </c>
    </row>
    <row r="43" spans="1:11" ht="18" customHeight="1" x14ac:dyDescent="0.4">
      <c r="A43" s="1" t="s">
        <v>90</v>
      </c>
      <c r="B43" s="94" t="s">
        <v>10</v>
      </c>
      <c r="F43" s="306">
        <v>0</v>
      </c>
      <c r="G43" s="306">
        <v>0</v>
      </c>
      <c r="H43" s="307">
        <v>0</v>
      </c>
      <c r="I43" s="115">
        <v>0</v>
      </c>
      <c r="J43" s="307"/>
      <c r="K43" s="308">
        <f t="shared" si="3"/>
        <v>0</v>
      </c>
    </row>
    <row r="44" spans="1:11" ht="18" customHeight="1" x14ac:dyDescent="0.4">
      <c r="A44" s="1" t="s">
        <v>91</v>
      </c>
      <c r="B44" s="630"/>
      <c r="C44" s="631"/>
      <c r="D44" s="632"/>
      <c r="F44" s="311"/>
      <c r="G44" s="311"/>
      <c r="H44" s="311"/>
      <c r="I44" s="116"/>
      <c r="J44" s="311"/>
      <c r="K44" s="353"/>
    </row>
    <row r="45" spans="1:11" ht="18" customHeight="1" x14ac:dyDescent="0.4">
      <c r="A45" s="1" t="s">
        <v>139</v>
      </c>
      <c r="B45" s="630"/>
      <c r="C45" s="631"/>
      <c r="D45" s="632"/>
      <c r="F45" s="306"/>
      <c r="G45" s="306"/>
      <c r="H45" s="307"/>
      <c r="I45" s="115"/>
      <c r="J45" s="307"/>
      <c r="K45" s="308"/>
    </row>
    <row r="46" spans="1:11" ht="18" customHeight="1" x14ac:dyDescent="0.4">
      <c r="A46" s="1" t="s">
        <v>140</v>
      </c>
      <c r="B46" s="630"/>
      <c r="C46" s="631"/>
      <c r="D46" s="632"/>
      <c r="F46" s="306"/>
      <c r="G46" s="306"/>
      <c r="H46" s="307"/>
      <c r="I46" s="115"/>
      <c r="J46" s="307"/>
      <c r="K46" s="308"/>
    </row>
    <row r="47" spans="1:11" ht="18" customHeight="1" x14ac:dyDescent="0.4">
      <c r="A47" s="1" t="s">
        <v>141</v>
      </c>
      <c r="B47" s="630"/>
      <c r="C47" s="631"/>
      <c r="D47" s="632"/>
      <c r="F47" s="306"/>
      <c r="G47" s="306"/>
      <c r="H47" s="307"/>
      <c r="I47" s="115"/>
      <c r="J47" s="307"/>
      <c r="K47" s="308"/>
    </row>
    <row r="49" spans="1:20" ht="18" customHeight="1" x14ac:dyDescent="0.4">
      <c r="A49" s="98" t="s">
        <v>142</v>
      </c>
      <c r="B49" s="95" t="s">
        <v>143</v>
      </c>
      <c r="E49" s="95" t="s">
        <v>7</v>
      </c>
      <c r="F49" s="312">
        <f t="shared" ref="F49:H49" si="4">SUM(F40:F47)</f>
        <v>22669</v>
      </c>
      <c r="G49" s="312">
        <f t="shared" si="4"/>
        <v>100471</v>
      </c>
      <c r="H49" s="308">
        <f t="shared" si="4"/>
        <v>2610106</v>
      </c>
      <c r="I49" s="308">
        <f t="shared" ref="I49:K49" si="5">SUM(I40:I47)</f>
        <v>0</v>
      </c>
      <c r="J49" s="308">
        <f t="shared" si="5"/>
        <v>0</v>
      </c>
      <c r="K49" s="308">
        <f t="shared" si="5"/>
        <v>2610106</v>
      </c>
    </row>
    <row r="50" spans="1:20" ht="18" customHeight="1" thickBot="1" x14ac:dyDescent="0.45">
      <c r="G50" s="103"/>
      <c r="H50" s="103"/>
      <c r="I50" s="103"/>
      <c r="J50" s="103"/>
      <c r="K50" s="103"/>
    </row>
    <row r="51" spans="1:20" ht="42.75" customHeight="1" x14ac:dyDescent="0.4">
      <c r="F51" s="99" t="s">
        <v>9</v>
      </c>
      <c r="G51" s="99" t="s">
        <v>37</v>
      </c>
      <c r="H51" s="99" t="s">
        <v>29</v>
      </c>
      <c r="I51" s="99" t="s">
        <v>30</v>
      </c>
      <c r="J51" s="99" t="s">
        <v>33</v>
      </c>
      <c r="K51" s="99" t="s">
        <v>34</v>
      </c>
      <c r="O51" s="99" t="s">
        <v>9</v>
      </c>
      <c r="P51" s="99" t="s">
        <v>37</v>
      </c>
      <c r="Q51" s="99" t="s">
        <v>29</v>
      </c>
      <c r="R51" s="99" t="s">
        <v>30</v>
      </c>
      <c r="S51" s="99" t="s">
        <v>33</v>
      </c>
      <c r="T51" s="99" t="s">
        <v>34</v>
      </c>
    </row>
    <row r="52" spans="1:20" ht="18" customHeight="1" x14ac:dyDescent="0.4">
      <c r="A52" s="98" t="s">
        <v>92</v>
      </c>
      <c r="B52" s="656" t="s">
        <v>38</v>
      </c>
      <c r="C52" s="657"/>
      <c r="M52" s="101" t="s">
        <v>706</v>
      </c>
      <c r="N52" s="102"/>
    </row>
    <row r="53" spans="1:20" ht="18" customHeight="1" x14ac:dyDescent="0.4">
      <c r="A53" s="1" t="s">
        <v>51</v>
      </c>
      <c r="B53" s="515" t="s">
        <v>626</v>
      </c>
      <c r="C53" s="516"/>
      <c r="D53" s="517"/>
      <c r="F53" s="311">
        <v>40554</v>
      </c>
      <c r="G53" s="311">
        <v>31009</v>
      </c>
      <c r="H53" s="352">
        <v>5388453</v>
      </c>
      <c r="I53" s="115">
        <v>2388032</v>
      </c>
      <c r="J53" s="352">
        <v>4406626</v>
      </c>
      <c r="K53" s="308">
        <f t="shared" ref="K53:K62" si="6">(H53+I53)-J53</f>
        <v>3369859</v>
      </c>
      <c r="M53" s="518" t="s">
        <v>543</v>
      </c>
      <c r="O53" s="345">
        <v>18315</v>
      </c>
      <c r="P53" s="345">
        <v>10248</v>
      </c>
      <c r="Q53" s="519">
        <v>3736885</v>
      </c>
      <c r="R53" s="115">
        <v>1728811</v>
      </c>
      <c r="S53" s="353">
        <v>2449549</v>
      </c>
      <c r="T53" s="308">
        <f>(Q53+R53)-S53</f>
        <v>3016147</v>
      </c>
    </row>
    <row r="54" spans="1:20" ht="18" customHeight="1" x14ac:dyDescent="0.4">
      <c r="A54" s="1" t="s">
        <v>93</v>
      </c>
      <c r="B54" s="520" t="s">
        <v>750</v>
      </c>
      <c r="C54" s="521"/>
      <c r="D54" s="517"/>
      <c r="F54" s="311">
        <v>29185</v>
      </c>
      <c r="G54" s="311">
        <v>11600</v>
      </c>
      <c r="H54" s="352">
        <v>3173415</v>
      </c>
      <c r="I54" s="115">
        <v>1327873</v>
      </c>
      <c r="J54" s="352">
        <v>2970994</v>
      </c>
      <c r="K54" s="308">
        <f t="shared" si="6"/>
        <v>1530294</v>
      </c>
      <c r="M54" s="518" t="s">
        <v>751</v>
      </c>
      <c r="O54" s="345">
        <v>5134</v>
      </c>
      <c r="P54" s="345">
        <v>6986</v>
      </c>
      <c r="Q54" s="519">
        <v>680976</v>
      </c>
      <c r="R54" s="115">
        <v>330342</v>
      </c>
      <c r="S54" s="353">
        <v>410365</v>
      </c>
      <c r="T54" s="308">
        <f>(Q54+R54)-S54</f>
        <v>600953</v>
      </c>
    </row>
    <row r="55" spans="1:20" ht="18" customHeight="1" x14ac:dyDescent="0.4">
      <c r="A55" s="1" t="s">
        <v>94</v>
      </c>
      <c r="B55" s="520" t="s">
        <v>313</v>
      </c>
      <c r="C55" s="521"/>
      <c r="D55" s="517"/>
      <c r="F55" s="338">
        <v>0</v>
      </c>
      <c r="G55" s="311">
        <v>6971</v>
      </c>
      <c r="H55" s="352">
        <v>3858210</v>
      </c>
      <c r="I55" s="115">
        <f>H55*0.66</f>
        <v>2546418.6</v>
      </c>
      <c r="J55" s="352">
        <v>0</v>
      </c>
      <c r="K55" s="308">
        <f t="shared" si="6"/>
        <v>6404628.5999999996</v>
      </c>
      <c r="M55" s="520" t="s">
        <v>344</v>
      </c>
      <c r="O55" s="345">
        <v>72346</v>
      </c>
      <c r="P55" s="345">
        <v>35973</v>
      </c>
      <c r="Q55" s="519">
        <v>7182248</v>
      </c>
      <c r="R55" s="115">
        <v>3385533</v>
      </c>
      <c r="S55" s="353">
        <v>6126205</v>
      </c>
      <c r="T55" s="308">
        <f>(Q55+R55)-S55</f>
        <v>4441576</v>
      </c>
    </row>
    <row r="56" spans="1:20" ht="18" customHeight="1" x14ac:dyDescent="0.4">
      <c r="A56" s="1" t="s">
        <v>95</v>
      </c>
      <c r="B56" s="520" t="s">
        <v>752</v>
      </c>
      <c r="C56" s="521"/>
      <c r="D56" s="517"/>
      <c r="F56" s="311">
        <v>16279</v>
      </c>
      <c r="G56" s="311">
        <v>11069</v>
      </c>
      <c r="H56" s="352">
        <v>2663783</v>
      </c>
      <c r="I56" s="115">
        <v>1381892</v>
      </c>
      <c r="J56" s="352">
        <v>1606030</v>
      </c>
      <c r="K56" s="308">
        <f t="shared" si="6"/>
        <v>2439645</v>
      </c>
      <c r="M56" s="520" t="s">
        <v>345</v>
      </c>
      <c r="O56" s="311">
        <v>56862</v>
      </c>
      <c r="P56" s="311">
        <v>18530</v>
      </c>
      <c r="Q56" s="352">
        <v>13994059</v>
      </c>
      <c r="R56" s="115">
        <v>2756407</v>
      </c>
      <c r="S56" s="352">
        <v>11156100</v>
      </c>
      <c r="T56" s="308">
        <f>(Q56+R56)-S56</f>
        <v>5594366</v>
      </c>
    </row>
    <row r="57" spans="1:20" ht="18" customHeight="1" x14ac:dyDescent="0.4">
      <c r="A57" s="1" t="s">
        <v>96</v>
      </c>
      <c r="B57" s="520" t="s">
        <v>343</v>
      </c>
      <c r="C57" s="521"/>
      <c r="D57" s="517"/>
      <c r="F57" s="311">
        <v>37953</v>
      </c>
      <c r="G57" s="311">
        <v>17268</v>
      </c>
      <c r="H57" s="352">
        <v>4955190</v>
      </c>
      <c r="I57" s="115">
        <v>2139481</v>
      </c>
      <c r="J57" s="352">
        <v>4366751</v>
      </c>
      <c r="K57" s="308">
        <f t="shared" si="6"/>
        <v>2727920</v>
      </c>
      <c r="M57" s="520"/>
      <c r="O57" s="311"/>
      <c r="P57" s="311"/>
      <c r="Q57" s="352"/>
      <c r="R57" s="115"/>
      <c r="S57" s="352"/>
      <c r="T57" s="308"/>
    </row>
    <row r="58" spans="1:20" ht="18" customHeight="1" x14ac:dyDescent="0.4">
      <c r="A58" s="1" t="s">
        <v>753</v>
      </c>
      <c r="B58" s="518" t="s">
        <v>754</v>
      </c>
      <c r="C58" s="521"/>
      <c r="D58" s="517"/>
      <c r="F58" s="345">
        <v>7981</v>
      </c>
      <c r="G58" s="345">
        <v>7384</v>
      </c>
      <c r="H58" s="519">
        <v>1520420</v>
      </c>
      <c r="I58" s="115">
        <v>771127</v>
      </c>
      <c r="J58" s="353">
        <v>974041</v>
      </c>
      <c r="K58" s="308">
        <f t="shared" si="6"/>
        <v>1317506</v>
      </c>
      <c r="M58" s="522" t="s">
        <v>755</v>
      </c>
      <c r="O58" s="311">
        <v>2685</v>
      </c>
      <c r="P58" s="311">
        <v>24</v>
      </c>
      <c r="Q58" s="352">
        <v>394728</v>
      </c>
      <c r="R58" s="115">
        <v>259044</v>
      </c>
      <c r="S58" s="352">
        <v>394728</v>
      </c>
      <c r="T58" s="308">
        <f>(Q58+R58)-S58</f>
        <v>259044</v>
      </c>
    </row>
    <row r="59" spans="1:20" ht="18" customHeight="1" x14ac:dyDescent="0.4">
      <c r="A59" s="1" t="s">
        <v>756</v>
      </c>
      <c r="B59" s="518" t="s">
        <v>757</v>
      </c>
      <c r="C59" s="521"/>
      <c r="D59" s="517"/>
      <c r="F59" s="345">
        <v>4128</v>
      </c>
      <c r="G59" s="345">
        <v>2810</v>
      </c>
      <c r="H59" s="519">
        <v>749558</v>
      </c>
      <c r="I59" s="115">
        <v>386947</v>
      </c>
      <c r="J59" s="353">
        <v>476186</v>
      </c>
      <c r="K59" s="308">
        <f t="shared" si="6"/>
        <v>660319</v>
      </c>
      <c r="M59" s="520" t="s">
        <v>625</v>
      </c>
      <c r="O59" s="311">
        <v>36878</v>
      </c>
      <c r="P59" s="311">
        <v>6760</v>
      </c>
      <c r="Q59" s="352">
        <v>1861888</v>
      </c>
      <c r="R59" s="115">
        <v>1068707</v>
      </c>
      <c r="S59" s="352">
        <v>503906</v>
      </c>
      <c r="T59" s="308">
        <f>(Q59+R59)-S59</f>
        <v>2426689</v>
      </c>
    </row>
    <row r="60" spans="1:20" ht="18" customHeight="1" x14ac:dyDescent="0.4">
      <c r="A60" s="1" t="s">
        <v>758</v>
      </c>
      <c r="B60" s="518" t="s">
        <v>759</v>
      </c>
      <c r="C60" s="521"/>
      <c r="D60" s="517"/>
      <c r="F60" s="345">
        <v>9067</v>
      </c>
      <c r="G60" s="345">
        <v>3985</v>
      </c>
      <c r="H60" s="519">
        <v>930721</v>
      </c>
      <c r="I60" s="115">
        <v>446000</v>
      </c>
      <c r="J60" s="353">
        <v>668246</v>
      </c>
      <c r="K60" s="308">
        <f t="shared" si="6"/>
        <v>708475</v>
      </c>
    </row>
    <row r="61" spans="1:20" ht="18" customHeight="1" x14ac:dyDescent="0.4">
      <c r="A61" s="1" t="s">
        <v>544</v>
      </c>
      <c r="B61" s="518" t="s">
        <v>545</v>
      </c>
      <c r="C61" s="521"/>
      <c r="D61" s="517"/>
      <c r="F61" s="345">
        <v>20595</v>
      </c>
      <c r="G61" s="345">
        <v>10791</v>
      </c>
      <c r="H61" s="519">
        <v>3850882</v>
      </c>
      <c r="I61" s="115">
        <v>2043842</v>
      </c>
      <c r="J61" s="353">
        <v>2040019</v>
      </c>
      <c r="K61" s="308">
        <f t="shared" si="6"/>
        <v>3854705</v>
      </c>
    </row>
    <row r="62" spans="1:20" ht="18" customHeight="1" x14ac:dyDescent="0.4">
      <c r="A62" s="1" t="s">
        <v>541</v>
      </c>
      <c r="B62" s="518" t="s">
        <v>542</v>
      </c>
      <c r="C62" s="521"/>
      <c r="D62" s="517"/>
      <c r="F62" s="345">
        <v>32266</v>
      </c>
      <c r="G62" s="345">
        <v>25147</v>
      </c>
      <c r="H62" s="519">
        <v>6614853</v>
      </c>
      <c r="I62" s="115">
        <v>3444767</v>
      </c>
      <c r="J62" s="353">
        <v>3839637</v>
      </c>
      <c r="K62" s="308">
        <f t="shared" si="6"/>
        <v>6219983</v>
      </c>
    </row>
    <row r="63" spans="1:20" ht="18" customHeight="1" x14ac:dyDescent="0.4">
      <c r="A63" s="1"/>
      <c r="I63" s="403"/>
    </row>
    <row r="64" spans="1:20" ht="18" customHeight="1" x14ac:dyDescent="0.4">
      <c r="A64" s="1" t="s">
        <v>144</v>
      </c>
      <c r="B64" s="95" t="s">
        <v>145</v>
      </c>
      <c r="E64" s="95" t="s">
        <v>7</v>
      </c>
      <c r="F64" s="310">
        <f>SUM(F53:F63)+SUM(O53:O59)</f>
        <v>390228</v>
      </c>
      <c r="G64" s="310">
        <f>SUM(G53:G63)+SUM(P53:P59)</f>
        <v>206555</v>
      </c>
      <c r="H64" s="308">
        <f>SUM(H53:H63)+SUM(Q53:Q59)</f>
        <v>61556269</v>
      </c>
      <c r="I64" s="308">
        <f>SUM(I53:I62)+SUM(R53:R59)</f>
        <v>26405223.600000001</v>
      </c>
      <c r="J64" s="308">
        <f>SUM(J53:J63)+SUM(S53:S59)</f>
        <v>42389383</v>
      </c>
      <c r="K64" s="308">
        <f>SUM(K53:K62)+SUM(T53:T59)</f>
        <v>45572109.600000001</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0</v>
      </c>
      <c r="G68" s="313">
        <v>0</v>
      </c>
      <c r="H68" s="313">
        <v>0</v>
      </c>
      <c r="I68" s="115">
        <v>0</v>
      </c>
      <c r="J68" s="313">
        <v>0</v>
      </c>
      <c r="K68" s="308">
        <f>(H68+I68)-J68</f>
        <v>0</v>
      </c>
    </row>
    <row r="69" spans="1:11" ht="18" customHeight="1" x14ac:dyDescent="0.4">
      <c r="A69" s="1" t="s">
        <v>104</v>
      </c>
      <c r="B69" s="94" t="s">
        <v>53</v>
      </c>
      <c r="F69" s="313">
        <v>0</v>
      </c>
      <c r="G69" s="313">
        <v>0</v>
      </c>
      <c r="H69" s="313">
        <v>0</v>
      </c>
      <c r="I69" s="115">
        <v>0</v>
      </c>
      <c r="J69" s="313">
        <v>0</v>
      </c>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0</v>
      </c>
      <c r="H77" s="307">
        <v>76355</v>
      </c>
      <c r="I77" s="115">
        <v>0</v>
      </c>
      <c r="J77" s="307">
        <v>0</v>
      </c>
      <c r="K77" s="308">
        <f>(H77+I77)-J77</f>
        <v>76355</v>
      </c>
    </row>
    <row r="78" spans="1:11" ht="18" customHeight="1" x14ac:dyDescent="0.4">
      <c r="A78" s="1" t="s">
        <v>108</v>
      </c>
      <c r="B78" s="94" t="s">
        <v>55</v>
      </c>
      <c r="F78" s="306">
        <v>0</v>
      </c>
      <c r="G78" s="306">
        <v>0</v>
      </c>
      <c r="H78" s="307">
        <v>0</v>
      </c>
      <c r="I78" s="115">
        <v>0</v>
      </c>
      <c r="J78" s="307">
        <v>0</v>
      </c>
      <c r="K78" s="308">
        <f>(H78+I78)-J78</f>
        <v>0</v>
      </c>
    </row>
    <row r="79" spans="1:11" ht="18" customHeight="1" x14ac:dyDescent="0.4">
      <c r="A79" s="1" t="s">
        <v>109</v>
      </c>
      <c r="B79" s="94" t="s">
        <v>13</v>
      </c>
      <c r="F79" s="311">
        <v>646</v>
      </c>
      <c r="G79" s="311">
        <v>2959</v>
      </c>
      <c r="H79" s="352">
        <v>130860</v>
      </c>
      <c r="I79" s="115">
        <v>0</v>
      </c>
      <c r="J79" s="307">
        <v>12472</v>
      </c>
      <c r="K79" s="308">
        <f>(H79+I79)-J79</f>
        <v>118388</v>
      </c>
    </row>
    <row r="80" spans="1:11" ht="18" customHeight="1" x14ac:dyDescent="0.4">
      <c r="A80" s="1" t="s">
        <v>110</v>
      </c>
      <c r="B80" s="94" t="s">
        <v>56</v>
      </c>
      <c r="F80" s="306">
        <v>0</v>
      </c>
      <c r="G80" s="306">
        <v>0</v>
      </c>
      <c r="H80" s="307">
        <v>0</v>
      </c>
      <c r="I80" s="115">
        <v>0</v>
      </c>
      <c r="J80" s="307">
        <v>0</v>
      </c>
      <c r="K80" s="308">
        <f>(H80+I80)-J80</f>
        <v>0</v>
      </c>
    </row>
    <row r="81" spans="1:11" ht="18" customHeight="1" x14ac:dyDescent="0.4">
      <c r="A81" s="1"/>
      <c r="K81" s="315"/>
    </row>
    <row r="82" spans="1:11" ht="18" customHeight="1" x14ac:dyDescent="0.4">
      <c r="A82" s="1" t="s">
        <v>148</v>
      </c>
      <c r="B82" s="95" t="s">
        <v>149</v>
      </c>
      <c r="E82" s="95" t="s">
        <v>7</v>
      </c>
      <c r="F82" s="411">
        <f t="shared" ref="F82:H82" si="8">SUM(F77:F80)</f>
        <v>646</v>
      </c>
      <c r="G82" s="411">
        <f t="shared" si="8"/>
        <v>2959</v>
      </c>
      <c r="H82" s="308">
        <f t="shared" si="8"/>
        <v>207215</v>
      </c>
      <c r="I82" s="308">
        <f t="shared" ref="I82:K82" si="9">SUM(I77:I80)</f>
        <v>0</v>
      </c>
      <c r="J82" s="308">
        <f t="shared" si="9"/>
        <v>12472</v>
      </c>
      <c r="K82" s="308">
        <f t="shared" si="9"/>
        <v>194743</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07">
        <v>0</v>
      </c>
      <c r="I86" s="115">
        <f t="shared" ref="I86:I93" si="10">H86*F$114</f>
        <v>0</v>
      </c>
      <c r="J86" s="307">
        <v>0</v>
      </c>
      <c r="K86" s="308">
        <f t="shared" ref="K86:K93" si="11">(H86+I86)-J86</f>
        <v>0</v>
      </c>
    </row>
    <row r="87" spans="1:11" ht="18" customHeight="1" x14ac:dyDescent="0.4">
      <c r="A87" s="1" t="s">
        <v>114</v>
      </c>
      <c r="B87" s="94" t="s">
        <v>14</v>
      </c>
      <c r="F87" s="306">
        <v>0</v>
      </c>
      <c r="G87" s="306">
        <v>0</v>
      </c>
      <c r="H87" s="307">
        <v>0</v>
      </c>
      <c r="I87" s="115">
        <f t="shared" si="10"/>
        <v>0</v>
      </c>
      <c r="J87" s="307">
        <v>0</v>
      </c>
      <c r="K87" s="308">
        <f t="shared" si="11"/>
        <v>0</v>
      </c>
    </row>
    <row r="88" spans="1:11" ht="18" customHeight="1" x14ac:dyDescent="0.4">
      <c r="A88" s="1" t="s">
        <v>115</v>
      </c>
      <c r="B88" s="94" t="s">
        <v>116</v>
      </c>
      <c r="F88" s="311">
        <v>67</v>
      </c>
      <c r="G88" s="311">
        <v>0</v>
      </c>
      <c r="H88" s="352">
        <v>28952</v>
      </c>
      <c r="I88" s="115">
        <f t="shared" si="10"/>
        <v>23103.696</v>
      </c>
      <c r="J88" s="307">
        <v>25000</v>
      </c>
      <c r="K88" s="308">
        <f t="shared" si="11"/>
        <v>27055.695999999996</v>
      </c>
    </row>
    <row r="89" spans="1:11" ht="18" customHeight="1" x14ac:dyDescent="0.4">
      <c r="A89" s="1" t="s">
        <v>117</v>
      </c>
      <c r="B89" s="94" t="s">
        <v>58</v>
      </c>
      <c r="F89" s="306">
        <v>0</v>
      </c>
      <c r="G89" s="306">
        <v>0</v>
      </c>
      <c r="H89" s="307">
        <v>0</v>
      </c>
      <c r="I89" s="115">
        <f t="shared" si="10"/>
        <v>0</v>
      </c>
      <c r="J89" s="307">
        <v>0</v>
      </c>
      <c r="K89" s="308">
        <f t="shared" si="11"/>
        <v>0</v>
      </c>
    </row>
    <row r="90" spans="1:11" ht="18" customHeight="1" x14ac:dyDescent="0.4">
      <c r="A90" s="1" t="s">
        <v>118</v>
      </c>
      <c r="B90" s="635" t="s">
        <v>59</v>
      </c>
      <c r="C90" s="636"/>
      <c r="F90" s="306">
        <v>0</v>
      </c>
      <c r="G90" s="306">
        <v>0</v>
      </c>
      <c r="H90" s="307">
        <v>0</v>
      </c>
      <c r="I90" s="115">
        <f t="shared" si="10"/>
        <v>0</v>
      </c>
      <c r="J90" s="307">
        <v>0</v>
      </c>
      <c r="K90" s="308">
        <f t="shared" si="11"/>
        <v>0</v>
      </c>
    </row>
    <row r="91" spans="1:11" ht="18" customHeight="1" x14ac:dyDescent="0.4">
      <c r="A91" s="1" t="s">
        <v>119</v>
      </c>
      <c r="B91" s="94" t="s">
        <v>60</v>
      </c>
      <c r="F91" s="306">
        <v>1638</v>
      </c>
      <c r="G91" s="306">
        <v>0</v>
      </c>
      <c r="H91" s="307">
        <v>76902</v>
      </c>
      <c r="I91" s="115">
        <f t="shared" si="10"/>
        <v>61367.796000000002</v>
      </c>
      <c r="J91" s="307">
        <v>0</v>
      </c>
      <c r="K91" s="308">
        <f t="shared" si="11"/>
        <v>138269.796</v>
      </c>
    </row>
    <row r="92" spans="1:11" ht="18" customHeight="1" x14ac:dyDescent="0.4">
      <c r="A92" s="1" t="s">
        <v>120</v>
      </c>
      <c r="B92" s="94" t="s">
        <v>121</v>
      </c>
      <c r="F92" s="107">
        <v>0</v>
      </c>
      <c r="G92" s="107">
        <v>0</v>
      </c>
      <c r="H92" s="108">
        <v>0</v>
      </c>
      <c r="I92" s="115">
        <f t="shared" si="10"/>
        <v>0</v>
      </c>
      <c r="J92" s="108">
        <v>0</v>
      </c>
      <c r="K92" s="308">
        <f t="shared" si="11"/>
        <v>0</v>
      </c>
    </row>
    <row r="93" spans="1:11" ht="18" customHeight="1" x14ac:dyDescent="0.4">
      <c r="A93" s="1" t="s">
        <v>122</v>
      </c>
      <c r="B93" s="94" t="s">
        <v>123</v>
      </c>
      <c r="F93" s="311">
        <v>2080</v>
      </c>
      <c r="G93" s="311"/>
      <c r="H93" s="352">
        <v>423535</v>
      </c>
      <c r="I93" s="115">
        <f t="shared" si="10"/>
        <v>337980.93</v>
      </c>
      <c r="J93" s="352"/>
      <c r="K93" s="308">
        <f t="shared" si="11"/>
        <v>761515.92999999993</v>
      </c>
    </row>
    <row r="94" spans="1:11" ht="18" customHeight="1" x14ac:dyDescent="0.4">
      <c r="A94" s="1" t="s">
        <v>124</v>
      </c>
      <c r="B94" s="655"/>
      <c r="C94" s="653"/>
      <c r="D94" s="654"/>
      <c r="F94" s="306"/>
      <c r="G94" s="306"/>
      <c r="H94" s="307"/>
      <c r="I94" s="115"/>
      <c r="J94" s="307"/>
      <c r="K94" s="308"/>
    </row>
    <row r="95" spans="1:11" ht="18" customHeight="1" x14ac:dyDescent="0.4">
      <c r="A95" s="1" t="s">
        <v>125</v>
      </c>
      <c r="B95" s="655"/>
      <c r="C95" s="653"/>
      <c r="D95" s="654"/>
      <c r="F95" s="306"/>
      <c r="G95" s="306"/>
      <c r="H95" s="307"/>
      <c r="I95" s="115"/>
      <c r="J95" s="307"/>
      <c r="K95" s="308"/>
    </row>
    <row r="96" spans="1:11" ht="18" customHeight="1" x14ac:dyDescent="0.4">
      <c r="A96" s="1" t="s">
        <v>126</v>
      </c>
      <c r="B96" s="655"/>
      <c r="C96" s="653"/>
      <c r="D96" s="654"/>
      <c r="F96" s="306"/>
      <c r="G96" s="306"/>
      <c r="H96" s="307"/>
      <c r="I96" s="115"/>
      <c r="J96" s="307"/>
      <c r="K96" s="308"/>
    </row>
    <row r="97" spans="1:11" ht="18" customHeight="1" x14ac:dyDescent="0.4">
      <c r="A97" s="1"/>
      <c r="B97" s="94"/>
    </row>
    <row r="98" spans="1:11" ht="18" customHeight="1" x14ac:dyDescent="0.4">
      <c r="A98" s="98" t="s">
        <v>150</v>
      </c>
      <c r="B98" s="95" t="s">
        <v>151</v>
      </c>
      <c r="E98" s="95" t="s">
        <v>7</v>
      </c>
      <c r="F98" s="310">
        <f t="shared" ref="F98:H98" si="12">SUM(F86:F96)</f>
        <v>3785</v>
      </c>
      <c r="G98" s="310">
        <f t="shared" si="12"/>
        <v>0</v>
      </c>
      <c r="H98" s="310">
        <f t="shared" si="12"/>
        <v>529389</v>
      </c>
      <c r="I98" s="310">
        <f t="shared" ref="I98:K98" si="13">SUM(I86:I96)</f>
        <v>422452.42200000002</v>
      </c>
      <c r="J98" s="310">
        <f t="shared" si="13"/>
        <v>25000</v>
      </c>
      <c r="K98" s="310">
        <f t="shared" si="13"/>
        <v>926841.4219999999</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11">
        <v>182</v>
      </c>
      <c r="G102" s="311"/>
      <c r="H102" s="352">
        <v>10777</v>
      </c>
      <c r="I102" s="115">
        <f>H102*F$114</f>
        <v>8600.0460000000003</v>
      </c>
      <c r="J102" s="307">
        <v>0</v>
      </c>
      <c r="K102" s="308">
        <f>(H102+I102)-J102</f>
        <v>19377.046000000002</v>
      </c>
    </row>
    <row r="103" spans="1:11" ht="18" customHeight="1" x14ac:dyDescent="0.4">
      <c r="A103" s="1" t="s">
        <v>132</v>
      </c>
      <c r="B103" s="635" t="s">
        <v>62</v>
      </c>
      <c r="C103" s="635"/>
      <c r="F103" s="306">
        <v>134</v>
      </c>
      <c r="G103" s="306">
        <v>0</v>
      </c>
      <c r="H103" s="307">
        <v>6218</v>
      </c>
      <c r="I103" s="115">
        <f>H103*F$114</f>
        <v>4961.9639999999999</v>
      </c>
      <c r="J103" s="307">
        <v>0</v>
      </c>
      <c r="K103" s="308">
        <f>(H103+I103)-J103</f>
        <v>11179.964</v>
      </c>
    </row>
    <row r="104" spans="1:11" ht="18" customHeight="1" x14ac:dyDescent="0.4">
      <c r="A104" s="1" t="s">
        <v>128</v>
      </c>
      <c r="B104" s="655" t="s">
        <v>400</v>
      </c>
      <c r="C104" s="653"/>
      <c r="D104" s="654"/>
      <c r="F104" s="306">
        <v>0</v>
      </c>
      <c r="G104" s="306">
        <v>0</v>
      </c>
      <c r="H104" s="307">
        <v>1355</v>
      </c>
      <c r="I104" s="115">
        <f>H104*F$114</f>
        <v>1081.29</v>
      </c>
      <c r="J104" s="307">
        <v>0</v>
      </c>
      <c r="K104" s="308">
        <f>(H104+I104)-J104</f>
        <v>2436.29</v>
      </c>
    </row>
    <row r="105" spans="1:11" ht="18" customHeight="1" x14ac:dyDescent="0.4">
      <c r="A105" s="1" t="s">
        <v>127</v>
      </c>
      <c r="B105" s="655"/>
      <c r="C105" s="653"/>
      <c r="D105" s="654"/>
      <c r="F105" s="306"/>
      <c r="G105" s="306"/>
      <c r="H105" s="307"/>
      <c r="I105" s="115"/>
      <c r="J105" s="307"/>
      <c r="K105" s="308"/>
    </row>
    <row r="106" spans="1:11" ht="18" customHeight="1" x14ac:dyDescent="0.4">
      <c r="A106" s="1" t="s">
        <v>129</v>
      </c>
      <c r="B106" s="655"/>
      <c r="C106" s="653"/>
      <c r="D106" s="654"/>
      <c r="F106" s="306"/>
      <c r="G106" s="306"/>
      <c r="H106" s="307"/>
      <c r="I106" s="115"/>
      <c r="J106" s="307"/>
      <c r="K106" s="308"/>
    </row>
    <row r="107" spans="1:11" ht="18" customHeight="1" x14ac:dyDescent="0.4">
      <c r="B107" s="95"/>
    </row>
    <row r="108" spans="1:11" ht="18" customHeight="1" x14ac:dyDescent="0.4">
      <c r="A108" s="98" t="s">
        <v>153</v>
      </c>
      <c r="B108" s="95" t="s">
        <v>154</v>
      </c>
      <c r="E108" s="95" t="s">
        <v>7</v>
      </c>
      <c r="F108" s="310">
        <f t="shared" ref="F108:K108" si="14">SUM(F102:F106)</f>
        <v>316</v>
      </c>
      <c r="G108" s="310">
        <f t="shared" si="14"/>
        <v>0</v>
      </c>
      <c r="H108" s="308">
        <f t="shared" si="14"/>
        <v>18350</v>
      </c>
      <c r="I108" s="308">
        <f t="shared" si="14"/>
        <v>14643.3</v>
      </c>
      <c r="J108" s="308">
        <f t="shared" si="14"/>
        <v>0</v>
      </c>
      <c r="K108" s="308">
        <f t="shared" si="14"/>
        <v>32993.300000000003</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523">
        <v>15894834</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524">
        <v>0.79800000000000004</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523">
        <v>330359414</v>
      </c>
    </row>
    <row r="118" spans="1:6" ht="18" customHeight="1" x14ac:dyDescent="0.4">
      <c r="A118" s="1" t="s">
        <v>173</v>
      </c>
      <c r="B118" t="s">
        <v>18</v>
      </c>
      <c r="F118" s="523">
        <v>8040044</v>
      </c>
    </row>
    <row r="119" spans="1:6" ht="18" customHeight="1" x14ac:dyDescent="0.4">
      <c r="A119" s="1" t="s">
        <v>174</v>
      </c>
      <c r="B119" s="95" t="s">
        <v>19</v>
      </c>
      <c r="F119" s="397">
        <v>338399458</v>
      </c>
    </row>
    <row r="120" spans="1:6" ht="18" customHeight="1" x14ac:dyDescent="0.4">
      <c r="A120" s="1"/>
      <c r="B120" s="95"/>
    </row>
    <row r="121" spans="1:6" ht="18" customHeight="1" x14ac:dyDescent="0.4">
      <c r="A121" s="1" t="s">
        <v>167</v>
      </c>
      <c r="B121" s="95" t="s">
        <v>36</v>
      </c>
      <c r="F121" s="523">
        <v>333791774</v>
      </c>
    </row>
    <row r="122" spans="1:6" ht="18" customHeight="1" x14ac:dyDescent="0.4">
      <c r="A122" s="1"/>
    </row>
    <row r="123" spans="1:6" ht="18" customHeight="1" x14ac:dyDescent="0.4">
      <c r="A123" s="1" t="s">
        <v>175</v>
      </c>
      <c r="B123" s="95" t="s">
        <v>20</v>
      </c>
      <c r="F123" s="523">
        <v>4607684</v>
      </c>
    </row>
    <row r="124" spans="1:6" ht="18" customHeight="1" x14ac:dyDescent="0.4">
      <c r="A124" s="1"/>
    </row>
    <row r="125" spans="1:6" ht="18" customHeight="1" x14ac:dyDescent="0.4">
      <c r="A125" s="1" t="s">
        <v>176</v>
      </c>
      <c r="B125" s="95" t="s">
        <v>21</v>
      </c>
      <c r="F125" s="523">
        <v>10194069</v>
      </c>
    </row>
    <row r="126" spans="1:6" ht="18" customHeight="1" x14ac:dyDescent="0.4">
      <c r="A126" s="1"/>
    </row>
    <row r="127" spans="1:6" ht="18" customHeight="1" x14ac:dyDescent="0.4">
      <c r="A127" s="1" t="s">
        <v>177</v>
      </c>
      <c r="B127" s="95" t="s">
        <v>22</v>
      </c>
      <c r="F127" s="523">
        <v>14801753</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s="94" t="s">
        <v>24</v>
      </c>
      <c r="F131" s="306">
        <v>88</v>
      </c>
      <c r="G131" s="306">
        <v>778</v>
      </c>
      <c r="H131" s="307">
        <v>38177.480000000003</v>
      </c>
      <c r="I131" s="115">
        <v>0</v>
      </c>
      <c r="J131" s="307">
        <v>34869.160000000003</v>
      </c>
      <c r="K131" s="308">
        <f>(H131+I131)-J131</f>
        <v>3308.3199999999997</v>
      </c>
    </row>
    <row r="132" spans="1:11" ht="18" customHeight="1" x14ac:dyDescent="0.4">
      <c r="A132" s="1" t="s">
        <v>159</v>
      </c>
      <c r="B132" s="94" t="s">
        <v>25</v>
      </c>
      <c r="F132" s="306">
        <v>4</v>
      </c>
      <c r="G132" s="306">
        <v>593</v>
      </c>
      <c r="H132" s="307">
        <v>121227.55</v>
      </c>
      <c r="I132" s="115">
        <v>0</v>
      </c>
      <c r="J132" s="307">
        <v>121000</v>
      </c>
      <c r="K132" s="308">
        <f>(H132+I132)-J132</f>
        <v>227.55000000000291</v>
      </c>
    </row>
    <row r="133" spans="1:11" ht="18" customHeight="1" x14ac:dyDescent="0.4">
      <c r="A133" s="1" t="s">
        <v>160</v>
      </c>
      <c r="B133" s="630"/>
      <c r="C133" s="631"/>
      <c r="D133" s="632"/>
      <c r="F133" s="306"/>
      <c r="G133" s="306"/>
      <c r="H133" s="307"/>
      <c r="I133" s="115"/>
      <c r="J133" s="307"/>
      <c r="K133" s="308"/>
    </row>
    <row r="134" spans="1:11" ht="18" customHeight="1" x14ac:dyDescent="0.4">
      <c r="A134" s="1" t="s">
        <v>161</v>
      </c>
      <c r="B134" s="630"/>
      <c r="C134" s="631"/>
      <c r="D134" s="632"/>
      <c r="F134" s="306"/>
      <c r="G134" s="306"/>
      <c r="H134" s="307"/>
      <c r="I134" s="115"/>
      <c r="J134" s="307"/>
      <c r="K134" s="308"/>
    </row>
    <row r="135" spans="1:11" ht="18" customHeight="1" x14ac:dyDescent="0.4">
      <c r="A135" s="1" t="s">
        <v>162</v>
      </c>
      <c r="B135" s="630"/>
      <c r="C135" s="631"/>
      <c r="D135" s="632"/>
      <c r="F135" s="306"/>
      <c r="G135" s="306"/>
      <c r="H135" s="307"/>
      <c r="I135" s="115"/>
      <c r="J135" s="307"/>
      <c r="K135" s="308"/>
    </row>
    <row r="136" spans="1:11" ht="18" customHeight="1" x14ac:dyDescent="0.4">
      <c r="A136" s="98"/>
    </row>
    <row r="137" spans="1:11" ht="18" customHeight="1" x14ac:dyDescent="0.4">
      <c r="A137" s="98" t="s">
        <v>163</v>
      </c>
      <c r="B137" s="95" t="s">
        <v>27</v>
      </c>
      <c r="F137" s="310">
        <f t="shared" ref="F137:K137" si="15">SUM(F131:F135)</f>
        <v>92</v>
      </c>
      <c r="G137" s="310">
        <f t="shared" si="15"/>
        <v>1371</v>
      </c>
      <c r="H137" s="308">
        <f t="shared" si="15"/>
        <v>159405.03</v>
      </c>
      <c r="I137" s="308">
        <f t="shared" si="15"/>
        <v>0</v>
      </c>
      <c r="J137" s="308">
        <f t="shared" si="15"/>
        <v>155869.16</v>
      </c>
      <c r="K137" s="308">
        <f t="shared" si="15"/>
        <v>3535.8700000000026</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11401</v>
      </c>
      <c r="G141" s="109">
        <f t="shared" si="16"/>
        <v>29695</v>
      </c>
      <c r="H141" s="109">
        <f t="shared" si="16"/>
        <v>736591</v>
      </c>
      <c r="I141" s="109">
        <f t="shared" si="16"/>
        <v>587799.61800000002</v>
      </c>
      <c r="J141" s="109">
        <f t="shared" si="16"/>
        <v>1704</v>
      </c>
      <c r="K141" s="109">
        <f t="shared" si="16"/>
        <v>1322686.6179999998</v>
      </c>
    </row>
    <row r="142" spans="1:11" ht="18" customHeight="1" x14ac:dyDescent="0.4">
      <c r="A142" s="1" t="s">
        <v>142</v>
      </c>
      <c r="B142" s="95" t="s">
        <v>65</v>
      </c>
      <c r="F142" s="109">
        <f t="shared" ref="F142:K142" si="17">F49</f>
        <v>22669</v>
      </c>
      <c r="G142" s="109">
        <f t="shared" si="17"/>
        <v>100471</v>
      </c>
      <c r="H142" s="109">
        <f t="shared" si="17"/>
        <v>2610106</v>
      </c>
      <c r="I142" s="109">
        <f t="shared" si="17"/>
        <v>0</v>
      </c>
      <c r="J142" s="109">
        <f t="shared" si="17"/>
        <v>0</v>
      </c>
      <c r="K142" s="109">
        <f t="shared" si="17"/>
        <v>2610106</v>
      </c>
    </row>
    <row r="143" spans="1:11" ht="18" customHeight="1" x14ac:dyDescent="0.4">
      <c r="A143" s="1" t="s">
        <v>144</v>
      </c>
      <c r="B143" s="95" t="s">
        <v>66</v>
      </c>
      <c r="F143" s="109">
        <f t="shared" ref="F143:K143" si="18">F64</f>
        <v>390228</v>
      </c>
      <c r="G143" s="109">
        <f t="shared" si="18"/>
        <v>206555</v>
      </c>
      <c r="H143" s="109">
        <f t="shared" si="18"/>
        <v>61556269</v>
      </c>
      <c r="I143" s="109">
        <f t="shared" si="18"/>
        <v>26405223.600000001</v>
      </c>
      <c r="J143" s="109">
        <f t="shared" si="18"/>
        <v>42389383</v>
      </c>
      <c r="K143" s="109">
        <f t="shared" si="18"/>
        <v>45572109.600000001</v>
      </c>
    </row>
    <row r="144" spans="1:11" ht="18" customHeight="1" x14ac:dyDescent="0.4">
      <c r="A144" s="1" t="s">
        <v>146</v>
      </c>
      <c r="B144" s="95" t="s">
        <v>67</v>
      </c>
      <c r="F144" s="109">
        <f t="shared" ref="F144:K144" si="19">F74</f>
        <v>0</v>
      </c>
      <c r="G144" s="109">
        <f t="shared" si="19"/>
        <v>0</v>
      </c>
      <c r="H144" s="109">
        <f t="shared" si="19"/>
        <v>0</v>
      </c>
      <c r="I144" s="109">
        <f t="shared" si="19"/>
        <v>0</v>
      </c>
      <c r="J144" s="109">
        <f t="shared" si="19"/>
        <v>0</v>
      </c>
      <c r="K144" s="109">
        <f t="shared" si="19"/>
        <v>0</v>
      </c>
    </row>
    <row r="145" spans="1:11" ht="18" customHeight="1" x14ac:dyDescent="0.4">
      <c r="A145" s="1" t="s">
        <v>148</v>
      </c>
      <c r="B145" s="95" t="s">
        <v>68</v>
      </c>
      <c r="F145" s="109">
        <f t="shared" ref="F145:K145" si="20">F82</f>
        <v>646</v>
      </c>
      <c r="G145" s="109">
        <f t="shared" si="20"/>
        <v>2959</v>
      </c>
      <c r="H145" s="109">
        <f t="shared" si="20"/>
        <v>207215</v>
      </c>
      <c r="I145" s="109">
        <f t="shared" si="20"/>
        <v>0</v>
      </c>
      <c r="J145" s="109">
        <f t="shared" si="20"/>
        <v>12472</v>
      </c>
      <c r="K145" s="109">
        <f t="shared" si="20"/>
        <v>194743</v>
      </c>
    </row>
    <row r="146" spans="1:11" ht="18" customHeight="1" x14ac:dyDescent="0.4">
      <c r="A146" s="1" t="s">
        <v>150</v>
      </c>
      <c r="B146" s="95" t="s">
        <v>69</v>
      </c>
      <c r="F146" s="109">
        <f t="shared" ref="F146:K146" si="21">F98</f>
        <v>3785</v>
      </c>
      <c r="G146" s="109">
        <f t="shared" si="21"/>
        <v>0</v>
      </c>
      <c r="H146" s="109">
        <f t="shared" si="21"/>
        <v>529389</v>
      </c>
      <c r="I146" s="109">
        <f t="shared" si="21"/>
        <v>422452.42200000002</v>
      </c>
      <c r="J146" s="109">
        <f t="shared" si="21"/>
        <v>25000</v>
      </c>
      <c r="K146" s="109">
        <f t="shared" si="21"/>
        <v>926841.4219999999</v>
      </c>
    </row>
    <row r="147" spans="1:11" ht="18" customHeight="1" x14ac:dyDescent="0.4">
      <c r="A147" s="1" t="s">
        <v>153</v>
      </c>
      <c r="B147" s="95" t="s">
        <v>61</v>
      </c>
      <c r="F147" s="310">
        <f t="shared" ref="F147:K147" si="22">F108</f>
        <v>316</v>
      </c>
      <c r="G147" s="310">
        <f t="shared" si="22"/>
        <v>0</v>
      </c>
      <c r="H147" s="310">
        <f t="shared" si="22"/>
        <v>18350</v>
      </c>
      <c r="I147" s="310">
        <f t="shared" si="22"/>
        <v>14643.3</v>
      </c>
      <c r="J147" s="310">
        <f t="shared" si="22"/>
        <v>0</v>
      </c>
      <c r="K147" s="310">
        <f t="shared" si="22"/>
        <v>32993.300000000003</v>
      </c>
    </row>
    <row r="148" spans="1:11" ht="18" customHeight="1" x14ac:dyDescent="0.4">
      <c r="A148" s="1" t="s">
        <v>155</v>
      </c>
      <c r="B148" s="95" t="s">
        <v>70</v>
      </c>
      <c r="F148" s="110" t="s">
        <v>73</v>
      </c>
      <c r="G148" s="110" t="s">
        <v>73</v>
      </c>
      <c r="H148" s="111" t="s">
        <v>73</v>
      </c>
      <c r="I148" s="111" t="s">
        <v>73</v>
      </c>
      <c r="J148" s="111" t="s">
        <v>73</v>
      </c>
      <c r="K148" s="106">
        <f>F111</f>
        <v>15894834</v>
      </c>
    </row>
    <row r="149" spans="1:11" ht="18" customHeight="1" x14ac:dyDescent="0.4">
      <c r="A149" s="1" t="s">
        <v>163</v>
      </c>
      <c r="B149" s="95" t="s">
        <v>71</v>
      </c>
      <c r="F149" s="310">
        <f t="shared" ref="F149:K149" si="23">F137</f>
        <v>92</v>
      </c>
      <c r="G149" s="310">
        <f t="shared" si="23"/>
        <v>1371</v>
      </c>
      <c r="H149" s="310">
        <f t="shared" si="23"/>
        <v>159405.03</v>
      </c>
      <c r="I149" s="310">
        <f t="shared" si="23"/>
        <v>0</v>
      </c>
      <c r="J149" s="310">
        <f t="shared" si="23"/>
        <v>155869.16</v>
      </c>
      <c r="K149" s="310">
        <f t="shared" si="23"/>
        <v>3535.8700000000026</v>
      </c>
    </row>
    <row r="150" spans="1:11" ht="18" customHeight="1" x14ac:dyDescent="0.4">
      <c r="A150" s="1" t="s">
        <v>185</v>
      </c>
      <c r="B150" s="95" t="s">
        <v>186</v>
      </c>
      <c r="F150" s="110" t="s">
        <v>73</v>
      </c>
      <c r="G150" s="110" t="s">
        <v>73</v>
      </c>
      <c r="H150" s="310">
        <f>H18</f>
        <v>6042287.3099999996</v>
      </c>
      <c r="I150" s="310">
        <f>I18</f>
        <v>0</v>
      </c>
      <c r="J150" s="310">
        <f>J18</f>
        <v>5007667.38</v>
      </c>
      <c r="K150" s="310">
        <f>K18</f>
        <v>1034619.9299999997</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429137</v>
      </c>
      <c r="G152" s="114">
        <f t="shared" si="24"/>
        <v>341051</v>
      </c>
      <c r="H152" s="114">
        <f t="shared" si="24"/>
        <v>71859612.340000004</v>
      </c>
      <c r="I152" s="114">
        <f t="shared" si="24"/>
        <v>27430118.940000001</v>
      </c>
      <c r="J152" s="114">
        <f t="shared" si="24"/>
        <v>47592095.539999999</v>
      </c>
      <c r="K152" s="114">
        <f t="shared" si="24"/>
        <v>67592469.739999995</v>
      </c>
    </row>
    <row r="154" spans="1:11" ht="18" customHeight="1" x14ac:dyDescent="0.4">
      <c r="A154" s="98" t="s">
        <v>168</v>
      </c>
      <c r="B154" s="95" t="s">
        <v>28</v>
      </c>
      <c r="F154" s="318">
        <f>K152/F121</f>
        <v>0.20249890801682846</v>
      </c>
    </row>
    <row r="155" spans="1:11" ht="18" customHeight="1" x14ac:dyDescent="0.4">
      <c r="A155" s="98" t="s">
        <v>169</v>
      </c>
      <c r="B155" s="95" t="s">
        <v>72</v>
      </c>
      <c r="F155" s="318">
        <f>K152/F127</f>
        <v>4.5665178806861588</v>
      </c>
      <c r="G155" s="95"/>
    </row>
    <row r="156" spans="1:11" ht="18" customHeight="1" x14ac:dyDescent="0.4">
      <c r="G156" s="95"/>
    </row>
  </sheetData>
  <mergeCells count="28">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90:C90"/>
    <mergeCell ref="B134:D134"/>
    <mergeCell ref="B135:D135"/>
    <mergeCell ref="B133:D133"/>
    <mergeCell ref="B105:D105"/>
    <mergeCell ref="B106:D106"/>
    <mergeCell ref="B103:C103"/>
    <mergeCell ref="B96:D96"/>
    <mergeCell ref="B95:D95"/>
    <mergeCell ref="B94:D94"/>
    <mergeCell ref="B104:D104"/>
  </mergeCells>
  <hyperlinks>
    <hyperlink ref="C11" r:id="rId1" xr:uid="{E0B0204A-9A88-4AC4-953E-CB2893FB2BC0}"/>
  </hyperlinks>
  <printOptions headings="1" gridLines="1"/>
  <pageMargins left="0.17" right="0.16" top="0.35" bottom="0.32" header="0.17" footer="0.17"/>
  <pageSetup scale="59" fitToHeight="3" orientation="landscape" horizontalDpi="1200"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K157"/>
  <sheetViews>
    <sheetView topLeftCell="A131" zoomScale="80" zoomScaleNormal="80" workbookViewId="0">
      <selection activeCell="K155" sqref="K155"/>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38671875" customWidth="1"/>
    <col min="9" max="9" width="21.38671875" customWidth="1"/>
    <col min="10" max="10" width="19.6093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522</v>
      </c>
      <c r="D5" s="666"/>
      <c r="E5" s="666"/>
      <c r="F5" s="666"/>
      <c r="G5" s="667"/>
    </row>
    <row r="6" spans="1:11" ht="18" customHeight="1" x14ac:dyDescent="0.4">
      <c r="B6" s="1" t="s">
        <v>3</v>
      </c>
      <c r="C6" s="663">
        <v>210028</v>
      </c>
      <c r="D6" s="666"/>
      <c r="E6" s="666"/>
      <c r="F6" s="666"/>
      <c r="G6" s="667"/>
    </row>
    <row r="7" spans="1:11" ht="18" customHeight="1" x14ac:dyDescent="0.4">
      <c r="B7" s="1" t="s">
        <v>4</v>
      </c>
      <c r="C7" s="663" t="s">
        <v>760</v>
      </c>
      <c r="D7" s="666"/>
      <c r="E7" s="666"/>
      <c r="F7" s="666"/>
      <c r="G7" s="667"/>
    </row>
    <row r="9" spans="1:11" ht="18" customHeight="1" x14ac:dyDescent="0.4">
      <c r="B9" s="1" t="s">
        <v>1</v>
      </c>
      <c r="C9" s="663" t="s">
        <v>433</v>
      </c>
      <c r="D9" s="666"/>
      <c r="E9" s="666"/>
      <c r="F9" s="666"/>
      <c r="G9" s="667"/>
    </row>
    <row r="10" spans="1:11" ht="18" customHeight="1" x14ac:dyDescent="0.4">
      <c r="B10" s="1" t="s">
        <v>2</v>
      </c>
      <c r="C10" s="660" t="s">
        <v>434</v>
      </c>
      <c r="D10" s="661"/>
      <c r="E10" s="661"/>
      <c r="F10" s="661"/>
      <c r="G10" s="662"/>
    </row>
    <row r="11" spans="1:11" ht="18" customHeight="1" x14ac:dyDescent="0.4">
      <c r="B11" s="1" t="s">
        <v>32</v>
      </c>
      <c r="C11" s="682" t="s">
        <v>435</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3595933.76</v>
      </c>
      <c r="I18" s="229">
        <v>0</v>
      </c>
      <c r="J18" s="307">
        <v>2980202.58</v>
      </c>
      <c r="K18" s="308">
        <f>H18-J18</f>
        <v>615731.1799999997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2767</v>
      </c>
      <c r="G21" s="306">
        <v>8429</v>
      </c>
      <c r="H21" s="319">
        <v>329543</v>
      </c>
      <c r="I21" s="229">
        <v>83183</v>
      </c>
      <c r="J21" s="319">
        <v>210055</v>
      </c>
      <c r="K21" s="351">
        <v>202671</v>
      </c>
    </row>
    <row r="22" spans="1:11" ht="18" customHeight="1" x14ac:dyDescent="0.4">
      <c r="A22" s="1" t="s">
        <v>76</v>
      </c>
      <c r="B22" t="s">
        <v>6</v>
      </c>
      <c r="F22" s="306">
        <v>92</v>
      </c>
      <c r="G22" s="306">
        <v>373</v>
      </c>
      <c r="H22" s="319">
        <v>4397</v>
      </c>
      <c r="I22" s="229">
        <v>3040</v>
      </c>
      <c r="J22" s="319"/>
      <c r="K22" s="351">
        <v>7437</v>
      </c>
    </row>
    <row r="23" spans="1:11" ht="18" customHeight="1" x14ac:dyDescent="0.4">
      <c r="A23" s="1" t="s">
        <v>77</v>
      </c>
      <c r="B23" t="s">
        <v>43</v>
      </c>
      <c r="F23" s="306"/>
      <c r="G23" s="306"/>
      <c r="H23" s="319"/>
      <c r="I23" s="229"/>
      <c r="J23" s="319"/>
      <c r="K23" s="351">
        <v>0</v>
      </c>
    </row>
    <row r="24" spans="1:11" ht="18" customHeight="1" x14ac:dyDescent="0.4">
      <c r="A24" s="1" t="s">
        <v>78</v>
      </c>
      <c r="B24" t="s">
        <v>44</v>
      </c>
      <c r="F24" s="306">
        <v>575</v>
      </c>
      <c r="G24" s="306">
        <v>5944</v>
      </c>
      <c r="H24" s="319">
        <v>25014</v>
      </c>
      <c r="I24" s="229">
        <v>14348</v>
      </c>
      <c r="J24" s="319">
        <v>464</v>
      </c>
      <c r="K24" s="351">
        <v>38898</v>
      </c>
    </row>
    <row r="25" spans="1:11" ht="18" customHeight="1" x14ac:dyDescent="0.4">
      <c r="A25" s="1" t="s">
        <v>79</v>
      </c>
      <c r="B25" t="s">
        <v>5</v>
      </c>
      <c r="F25" s="306">
        <v>81</v>
      </c>
      <c r="G25" s="306">
        <v>367</v>
      </c>
      <c r="H25" s="319">
        <v>3468</v>
      </c>
      <c r="I25" s="229">
        <v>208</v>
      </c>
      <c r="J25" s="319"/>
      <c r="K25" s="351">
        <v>3676</v>
      </c>
    </row>
    <row r="26" spans="1:11" ht="18" customHeight="1" x14ac:dyDescent="0.4">
      <c r="A26" s="1" t="s">
        <v>80</v>
      </c>
      <c r="B26" t="s">
        <v>45</v>
      </c>
      <c r="F26" s="306"/>
      <c r="G26" s="306"/>
      <c r="H26" s="319"/>
      <c r="I26" s="229"/>
      <c r="J26" s="319"/>
      <c r="K26" s="351">
        <v>0</v>
      </c>
    </row>
    <row r="27" spans="1:11" ht="18" customHeight="1" x14ac:dyDescent="0.4">
      <c r="A27" s="1" t="s">
        <v>81</v>
      </c>
      <c r="B27" t="s">
        <v>455</v>
      </c>
      <c r="F27" s="306"/>
      <c r="G27" s="306"/>
      <c r="H27" s="319"/>
      <c r="I27" s="229"/>
      <c r="J27" s="319"/>
      <c r="K27" s="351">
        <v>0</v>
      </c>
    </row>
    <row r="28" spans="1:11" ht="18" customHeight="1" x14ac:dyDescent="0.4">
      <c r="A28" s="1" t="s">
        <v>82</v>
      </c>
      <c r="B28" t="s">
        <v>47</v>
      </c>
      <c r="F28" s="306"/>
      <c r="G28" s="306"/>
      <c r="H28" s="319"/>
      <c r="I28" s="229"/>
      <c r="J28" s="319"/>
      <c r="K28" s="351">
        <v>0</v>
      </c>
    </row>
    <row r="29" spans="1:11" ht="18" customHeight="1" x14ac:dyDescent="0.4">
      <c r="A29" s="1" t="s">
        <v>83</v>
      </c>
      <c r="B29" t="s">
        <v>48</v>
      </c>
      <c r="F29" s="306">
        <v>12445</v>
      </c>
      <c r="G29" s="306">
        <v>2933</v>
      </c>
      <c r="H29" s="319">
        <v>573112</v>
      </c>
      <c r="I29" s="229">
        <v>326530</v>
      </c>
      <c r="J29" s="319">
        <v>31134</v>
      </c>
      <c r="K29" s="351">
        <v>868508</v>
      </c>
    </row>
    <row r="30" spans="1:11" ht="18" customHeight="1" x14ac:dyDescent="0.4">
      <c r="A30" s="1" t="s">
        <v>84</v>
      </c>
      <c r="B30" s="630"/>
      <c r="C30" s="631"/>
      <c r="D30" s="632"/>
      <c r="F30" s="306"/>
      <c r="G30" s="306"/>
      <c r="H30" s="319"/>
      <c r="I30" s="229"/>
      <c r="J30" s="319"/>
      <c r="K30" s="351">
        <v>0</v>
      </c>
    </row>
    <row r="31" spans="1:11" ht="18" customHeight="1" x14ac:dyDescent="0.4">
      <c r="A31" s="1" t="s">
        <v>133</v>
      </c>
      <c r="B31" s="630"/>
      <c r="C31" s="631"/>
      <c r="D31" s="632"/>
      <c r="F31" s="306"/>
      <c r="G31" s="306"/>
      <c r="H31" s="319"/>
      <c r="I31" s="229"/>
      <c r="J31" s="319"/>
      <c r="K31" s="351">
        <v>0</v>
      </c>
    </row>
    <row r="32" spans="1:11" ht="18" customHeight="1" x14ac:dyDescent="0.4">
      <c r="A32" s="1" t="s">
        <v>134</v>
      </c>
      <c r="B32" s="394"/>
      <c r="C32" s="395"/>
      <c r="D32" s="396"/>
      <c r="F32" s="306"/>
      <c r="G32" s="309" t="s">
        <v>85</v>
      </c>
      <c r="H32" s="319"/>
      <c r="I32" s="229"/>
      <c r="J32" s="319"/>
      <c r="K32" s="351">
        <v>0</v>
      </c>
    </row>
    <row r="33" spans="1:11" ht="18" customHeight="1" x14ac:dyDescent="0.4">
      <c r="A33" s="1" t="s">
        <v>135</v>
      </c>
      <c r="B33" s="394"/>
      <c r="C33" s="395"/>
      <c r="D33" s="396"/>
      <c r="F33" s="306"/>
      <c r="G33" s="309" t="s">
        <v>85</v>
      </c>
      <c r="H33" s="319"/>
      <c r="I33" s="229"/>
      <c r="J33" s="319"/>
      <c r="K33" s="351">
        <v>0</v>
      </c>
    </row>
    <row r="34" spans="1:11" ht="18" customHeight="1" x14ac:dyDescent="0.4">
      <c r="A34" s="1" t="s">
        <v>136</v>
      </c>
      <c r="B34" s="630"/>
      <c r="C34" s="631"/>
      <c r="D34" s="632"/>
      <c r="F34" s="306"/>
      <c r="G34" s="309" t="s">
        <v>85</v>
      </c>
      <c r="H34" s="319"/>
      <c r="I34" s="229"/>
      <c r="J34" s="319"/>
      <c r="K34" s="351">
        <v>0</v>
      </c>
    </row>
    <row r="35" spans="1:11" ht="18" customHeight="1" x14ac:dyDescent="0.4">
      <c r="H35" s="87"/>
      <c r="I35" s="87"/>
      <c r="J35" s="87"/>
      <c r="K35" s="487"/>
    </row>
    <row r="36" spans="1:11" ht="18" customHeight="1" x14ac:dyDescent="0.4">
      <c r="A36" s="98" t="s">
        <v>137</v>
      </c>
      <c r="B36" s="95" t="s">
        <v>138</v>
      </c>
      <c r="E36" s="95" t="s">
        <v>7</v>
      </c>
      <c r="F36" s="310">
        <v>15960</v>
      </c>
      <c r="G36" s="310">
        <v>18046</v>
      </c>
      <c r="H36" s="351">
        <v>935534</v>
      </c>
      <c r="I36" s="351">
        <v>427309</v>
      </c>
      <c r="J36" s="351">
        <v>241653</v>
      </c>
      <c r="K36" s="351">
        <v>1121190</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19"/>
      <c r="I40" s="229">
        <v>0</v>
      </c>
      <c r="J40" s="319"/>
      <c r="K40" s="351">
        <v>0</v>
      </c>
    </row>
    <row r="41" spans="1:11" ht="18" customHeight="1" x14ac:dyDescent="0.4">
      <c r="A41" s="1" t="s">
        <v>88</v>
      </c>
      <c r="B41" s="635" t="s">
        <v>50</v>
      </c>
      <c r="C41" s="636"/>
      <c r="F41" s="306"/>
      <c r="G41" s="306"/>
      <c r="H41" s="319"/>
      <c r="I41" s="229">
        <v>0</v>
      </c>
      <c r="J41" s="319"/>
      <c r="K41" s="351">
        <v>0</v>
      </c>
    </row>
    <row r="42" spans="1:11" ht="18" customHeight="1" x14ac:dyDescent="0.4">
      <c r="A42" s="1" t="s">
        <v>89</v>
      </c>
      <c r="B42" s="94" t="s">
        <v>11</v>
      </c>
      <c r="F42" s="306">
        <v>21</v>
      </c>
      <c r="G42" s="306">
        <v>22</v>
      </c>
      <c r="H42" s="319">
        <v>1339</v>
      </c>
      <c r="I42" s="229">
        <v>1012</v>
      </c>
      <c r="J42" s="319"/>
      <c r="K42" s="351">
        <v>2351</v>
      </c>
    </row>
    <row r="43" spans="1:11" ht="18" customHeight="1" x14ac:dyDescent="0.4">
      <c r="A43" s="1" t="s">
        <v>90</v>
      </c>
      <c r="B43" s="94" t="s">
        <v>10</v>
      </c>
      <c r="F43" s="306"/>
      <c r="G43" s="306">
        <v>14</v>
      </c>
      <c r="H43" s="319">
        <v>78689</v>
      </c>
      <c r="I43" s="229">
        <v>0</v>
      </c>
      <c r="J43" s="319"/>
      <c r="K43" s="351">
        <v>78689</v>
      </c>
    </row>
    <row r="44" spans="1:11" ht="18" customHeight="1" x14ac:dyDescent="0.4">
      <c r="A44" s="1" t="s">
        <v>91</v>
      </c>
      <c r="B44" s="630"/>
      <c r="C44" s="631"/>
      <c r="D44" s="632"/>
      <c r="F44" s="311"/>
      <c r="G44" s="311"/>
      <c r="H44" s="348"/>
      <c r="I44" s="488">
        <v>0</v>
      </c>
      <c r="J44" s="348"/>
      <c r="K44" s="489">
        <v>0</v>
      </c>
    </row>
    <row r="45" spans="1:11" ht="18" customHeight="1" x14ac:dyDescent="0.4">
      <c r="A45" s="1" t="s">
        <v>139</v>
      </c>
      <c r="B45" s="630"/>
      <c r="C45" s="631"/>
      <c r="D45" s="632"/>
      <c r="F45" s="306"/>
      <c r="G45" s="306"/>
      <c r="H45" s="319"/>
      <c r="I45" s="229">
        <v>0</v>
      </c>
      <c r="J45" s="319"/>
      <c r="K45" s="351">
        <v>0</v>
      </c>
    </row>
    <row r="46" spans="1:11" ht="18" customHeight="1" x14ac:dyDescent="0.4">
      <c r="A46" s="1" t="s">
        <v>140</v>
      </c>
      <c r="B46" s="630"/>
      <c r="C46" s="631"/>
      <c r="D46" s="632"/>
      <c r="F46" s="306"/>
      <c r="G46" s="306"/>
      <c r="H46" s="319"/>
      <c r="I46" s="229">
        <v>0</v>
      </c>
      <c r="J46" s="319"/>
      <c r="K46" s="351">
        <v>0</v>
      </c>
    </row>
    <row r="47" spans="1:11" ht="18" customHeight="1" x14ac:dyDescent="0.4">
      <c r="A47" s="1" t="s">
        <v>141</v>
      </c>
      <c r="B47" s="630"/>
      <c r="C47" s="631"/>
      <c r="D47" s="632"/>
      <c r="F47" s="306"/>
      <c r="G47" s="306"/>
      <c r="H47" s="319"/>
      <c r="I47" s="229">
        <v>0</v>
      </c>
      <c r="J47" s="319"/>
      <c r="K47" s="351">
        <v>0</v>
      </c>
    </row>
    <row r="48" spans="1:11" ht="18" customHeight="1" x14ac:dyDescent="0.4">
      <c r="H48" s="87"/>
      <c r="I48" s="87"/>
      <c r="J48" s="87"/>
      <c r="K48" s="87"/>
    </row>
    <row r="49" spans="1:11" ht="18" customHeight="1" x14ac:dyDescent="0.4">
      <c r="A49" s="98" t="s">
        <v>142</v>
      </c>
      <c r="B49" s="95" t="s">
        <v>143</v>
      </c>
      <c r="E49" s="95" t="s">
        <v>7</v>
      </c>
      <c r="F49" s="312">
        <v>21</v>
      </c>
      <c r="G49" s="312">
        <v>36</v>
      </c>
      <c r="H49" s="351">
        <v>80028</v>
      </c>
      <c r="I49" s="351">
        <v>1012</v>
      </c>
      <c r="J49" s="351">
        <v>0</v>
      </c>
      <c r="K49" s="351">
        <v>81040</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295</v>
      </c>
      <c r="C53" s="659"/>
      <c r="D53" s="654"/>
      <c r="F53" s="306"/>
      <c r="G53" s="306"/>
      <c r="H53" s="319">
        <v>2103972</v>
      </c>
      <c r="I53" s="229">
        <v>0</v>
      </c>
      <c r="J53" s="319"/>
      <c r="K53" s="351">
        <v>2103972</v>
      </c>
    </row>
    <row r="54" spans="1:11" ht="18" customHeight="1" x14ac:dyDescent="0.4">
      <c r="A54" s="1" t="s">
        <v>93</v>
      </c>
      <c r="B54" s="400"/>
      <c r="C54" s="401"/>
      <c r="D54" s="402"/>
      <c r="F54" s="306"/>
      <c r="G54" s="306"/>
      <c r="H54" s="319"/>
      <c r="I54" s="229">
        <v>0</v>
      </c>
      <c r="J54" s="319"/>
      <c r="K54" s="351">
        <v>0</v>
      </c>
    </row>
    <row r="55" spans="1:11" ht="18" customHeight="1" x14ac:dyDescent="0.4">
      <c r="A55" s="1" t="s">
        <v>94</v>
      </c>
      <c r="B55" s="655" t="s">
        <v>296</v>
      </c>
      <c r="C55" s="653"/>
      <c r="D55" s="654"/>
      <c r="F55" s="306"/>
      <c r="G55" s="306"/>
      <c r="H55" s="319">
        <v>1713450</v>
      </c>
      <c r="I55" s="229">
        <v>0</v>
      </c>
      <c r="J55" s="319">
        <v>492493</v>
      </c>
      <c r="K55" s="351">
        <v>1220957</v>
      </c>
    </row>
    <row r="56" spans="1:11" ht="18" customHeight="1" x14ac:dyDescent="0.4">
      <c r="A56" s="1" t="s">
        <v>95</v>
      </c>
      <c r="B56" s="655"/>
      <c r="C56" s="653"/>
      <c r="D56" s="654"/>
      <c r="F56" s="306"/>
      <c r="G56" s="306"/>
      <c r="H56" s="319"/>
      <c r="I56" s="229">
        <v>0</v>
      </c>
      <c r="J56" s="319"/>
      <c r="K56" s="351">
        <v>0</v>
      </c>
    </row>
    <row r="57" spans="1:11" ht="18" customHeight="1" x14ac:dyDescent="0.4">
      <c r="A57" s="1" t="s">
        <v>96</v>
      </c>
      <c r="B57" s="655" t="s">
        <v>523</v>
      </c>
      <c r="C57" s="653"/>
      <c r="D57" s="654"/>
      <c r="F57" s="306"/>
      <c r="G57" s="306"/>
      <c r="H57" s="319">
        <v>1409249</v>
      </c>
      <c r="I57" s="229">
        <v>0</v>
      </c>
      <c r="J57" s="319"/>
      <c r="K57" s="351">
        <v>1409249</v>
      </c>
    </row>
    <row r="58" spans="1:11" ht="18" customHeight="1" x14ac:dyDescent="0.4">
      <c r="A58" s="1" t="s">
        <v>97</v>
      </c>
      <c r="B58" s="400"/>
      <c r="C58" s="401"/>
      <c r="D58" s="402"/>
      <c r="F58" s="306"/>
      <c r="G58" s="306"/>
      <c r="H58" s="319"/>
      <c r="I58" s="229">
        <v>0</v>
      </c>
      <c r="J58" s="319"/>
      <c r="K58" s="351">
        <v>0</v>
      </c>
    </row>
    <row r="59" spans="1:11" ht="18" customHeight="1" x14ac:dyDescent="0.4">
      <c r="A59" s="1" t="s">
        <v>98</v>
      </c>
      <c r="B59" s="655"/>
      <c r="C59" s="653"/>
      <c r="D59" s="654"/>
      <c r="F59" s="306"/>
      <c r="G59" s="306"/>
      <c r="H59" s="319"/>
      <c r="I59" s="229">
        <v>0</v>
      </c>
      <c r="J59" s="319"/>
      <c r="K59" s="351">
        <v>0</v>
      </c>
    </row>
    <row r="60" spans="1:11" ht="18" customHeight="1" x14ac:dyDescent="0.4">
      <c r="A60" s="1" t="s">
        <v>99</v>
      </c>
      <c r="B60" s="400" t="s">
        <v>524</v>
      </c>
      <c r="C60" s="401"/>
      <c r="D60" s="402"/>
      <c r="F60" s="306"/>
      <c r="G60" s="306"/>
      <c r="H60" s="319">
        <v>464839</v>
      </c>
      <c r="I60" s="229">
        <v>0</v>
      </c>
      <c r="J60" s="319"/>
      <c r="K60" s="351">
        <v>464839</v>
      </c>
    </row>
    <row r="61" spans="1:11" ht="18" customHeight="1" x14ac:dyDescent="0.4">
      <c r="A61" s="1" t="s">
        <v>100</v>
      </c>
      <c r="B61" s="400"/>
      <c r="C61" s="401"/>
      <c r="D61" s="402"/>
      <c r="F61" s="306"/>
      <c r="G61" s="306"/>
      <c r="H61" s="319"/>
      <c r="I61" s="229">
        <v>0</v>
      </c>
      <c r="J61" s="319"/>
      <c r="K61" s="351">
        <v>0</v>
      </c>
    </row>
    <row r="62" spans="1:11" ht="18" customHeight="1" x14ac:dyDescent="0.4">
      <c r="A62" s="1" t="s">
        <v>101</v>
      </c>
      <c r="B62" s="652" t="s">
        <v>229</v>
      </c>
      <c r="C62" s="653"/>
      <c r="D62" s="654"/>
      <c r="F62" s="306"/>
      <c r="G62" s="306"/>
      <c r="H62" s="319">
        <v>5676010</v>
      </c>
      <c r="I62" s="229">
        <v>0</v>
      </c>
      <c r="J62" s="319">
        <v>1338460</v>
      </c>
      <c r="K62" s="351">
        <v>4337550</v>
      </c>
    </row>
    <row r="63" spans="1:11" ht="18" customHeight="1" x14ac:dyDescent="0.4">
      <c r="A63" s="1"/>
      <c r="H63" s="87"/>
      <c r="I63" s="490"/>
      <c r="J63" s="87"/>
      <c r="K63" s="87"/>
    </row>
    <row r="64" spans="1:11" ht="18" customHeight="1" x14ac:dyDescent="0.4">
      <c r="A64" s="1" t="s">
        <v>144</v>
      </c>
      <c r="B64" s="95" t="s">
        <v>145</v>
      </c>
      <c r="E64" s="95" t="s">
        <v>7</v>
      </c>
      <c r="F64" s="310">
        <v>0</v>
      </c>
      <c r="G64" s="310">
        <v>0</v>
      </c>
      <c r="H64" s="351">
        <v>11367520</v>
      </c>
      <c r="I64" s="351">
        <v>0</v>
      </c>
      <c r="J64" s="351">
        <v>1830953</v>
      </c>
      <c r="K64" s="351">
        <v>9536567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v>0</v>
      </c>
    </row>
    <row r="69" spans="1:11" ht="18" customHeight="1" x14ac:dyDescent="0.4">
      <c r="A69" s="1" t="s">
        <v>104</v>
      </c>
      <c r="B69" s="94" t="s">
        <v>53</v>
      </c>
      <c r="F69" s="313"/>
      <c r="G69" s="313"/>
      <c r="H69" s="313"/>
      <c r="I69" s="115">
        <v>0</v>
      </c>
      <c r="J69" s="313"/>
      <c r="K69" s="308">
        <v>0</v>
      </c>
    </row>
    <row r="70" spans="1:11" ht="18" customHeight="1" x14ac:dyDescent="0.4">
      <c r="A70" s="1" t="s">
        <v>178</v>
      </c>
      <c r="B70" s="400"/>
      <c r="C70" s="401"/>
      <c r="D70" s="402"/>
      <c r="E70" s="95"/>
      <c r="F70" s="104"/>
      <c r="G70" s="104"/>
      <c r="H70" s="105"/>
      <c r="I70" s="115">
        <v>0</v>
      </c>
      <c r="J70" s="105"/>
      <c r="K70" s="308">
        <v>0</v>
      </c>
    </row>
    <row r="71" spans="1:11" ht="18" customHeight="1" x14ac:dyDescent="0.4">
      <c r="A71" s="1" t="s">
        <v>179</v>
      </c>
      <c r="B71" s="400"/>
      <c r="C71" s="401"/>
      <c r="D71" s="402"/>
      <c r="E71" s="95"/>
      <c r="F71" s="104"/>
      <c r="G71" s="104"/>
      <c r="H71" s="105"/>
      <c r="I71" s="115">
        <v>0</v>
      </c>
      <c r="J71" s="105"/>
      <c r="K71" s="308">
        <v>0</v>
      </c>
    </row>
    <row r="72" spans="1:11" ht="18" customHeight="1" x14ac:dyDescent="0.4">
      <c r="A72" s="1" t="s">
        <v>180</v>
      </c>
      <c r="B72" s="406"/>
      <c r="C72" s="407"/>
      <c r="D72" s="408"/>
      <c r="E72" s="95"/>
      <c r="F72" s="306"/>
      <c r="G72" s="306"/>
      <c r="H72" s="307"/>
      <c r="I72" s="115">
        <v>0</v>
      </c>
      <c r="J72" s="307"/>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0</v>
      </c>
      <c r="G74" s="411">
        <v>0</v>
      </c>
      <c r="H74" s="411">
        <v>0</v>
      </c>
      <c r="I74" s="412">
        <v>0</v>
      </c>
      <c r="J74" s="411">
        <v>0</v>
      </c>
      <c r="K74" s="30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19">
        <v>20117</v>
      </c>
      <c r="I77" s="229">
        <v>0</v>
      </c>
      <c r="J77" s="319"/>
      <c r="K77" s="351">
        <v>20117</v>
      </c>
    </row>
    <row r="78" spans="1:11" ht="18" customHeight="1" x14ac:dyDescent="0.4">
      <c r="A78" s="1" t="s">
        <v>108</v>
      </c>
      <c r="B78" s="94" t="s">
        <v>55</v>
      </c>
      <c r="F78" s="306"/>
      <c r="G78" s="306"/>
      <c r="H78" s="319"/>
      <c r="I78" s="229">
        <v>0</v>
      </c>
      <c r="J78" s="319"/>
      <c r="K78" s="351">
        <v>0</v>
      </c>
    </row>
    <row r="79" spans="1:11" ht="18" customHeight="1" x14ac:dyDescent="0.4">
      <c r="A79" s="1" t="s">
        <v>109</v>
      </c>
      <c r="B79" s="94" t="s">
        <v>13</v>
      </c>
      <c r="F79" s="306">
        <v>28</v>
      </c>
      <c r="G79" s="306">
        <v>49</v>
      </c>
      <c r="H79" s="319">
        <v>459422</v>
      </c>
      <c r="I79" s="229">
        <v>0</v>
      </c>
      <c r="J79" s="319"/>
      <c r="K79" s="351">
        <v>459422</v>
      </c>
    </row>
    <row r="80" spans="1:11" ht="18" customHeight="1" x14ac:dyDescent="0.4">
      <c r="A80" s="1" t="s">
        <v>110</v>
      </c>
      <c r="B80" s="94" t="s">
        <v>56</v>
      </c>
      <c r="F80" s="306"/>
      <c r="G80" s="306"/>
      <c r="H80" s="319"/>
      <c r="I80" s="229">
        <v>0</v>
      </c>
      <c r="J80" s="319"/>
      <c r="K80" s="351">
        <v>0</v>
      </c>
    </row>
    <row r="81" spans="1:11" ht="18" customHeight="1" x14ac:dyDescent="0.4">
      <c r="A81" s="1"/>
      <c r="H81" s="87"/>
      <c r="I81" s="87"/>
      <c r="J81" s="87"/>
      <c r="K81" s="373"/>
    </row>
    <row r="82" spans="1:11" ht="18" customHeight="1" x14ac:dyDescent="0.4">
      <c r="A82" s="1" t="s">
        <v>148</v>
      </c>
      <c r="B82" s="95" t="s">
        <v>149</v>
      </c>
      <c r="E82" s="95" t="s">
        <v>7</v>
      </c>
      <c r="F82" s="411">
        <v>28</v>
      </c>
      <c r="G82" s="411">
        <v>49</v>
      </c>
      <c r="H82" s="351">
        <v>479539</v>
      </c>
      <c r="I82" s="351">
        <v>0</v>
      </c>
      <c r="J82" s="351">
        <v>0</v>
      </c>
      <c r="K82" s="351">
        <v>479539</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19">
        <v>88946</v>
      </c>
      <c r="I86" s="229">
        <v>67243</v>
      </c>
      <c r="J86" s="319"/>
      <c r="K86" s="351">
        <v>156189</v>
      </c>
    </row>
    <row r="87" spans="1:11" ht="18" customHeight="1" x14ac:dyDescent="0.4">
      <c r="A87" s="1" t="s">
        <v>114</v>
      </c>
      <c r="B87" s="94" t="s">
        <v>14</v>
      </c>
      <c r="F87" s="306"/>
      <c r="G87" s="306"/>
      <c r="H87" s="319">
        <v>516305</v>
      </c>
      <c r="I87" s="229">
        <v>0</v>
      </c>
      <c r="J87" s="319"/>
      <c r="K87" s="351">
        <v>516305</v>
      </c>
    </row>
    <row r="88" spans="1:11" ht="18" customHeight="1" x14ac:dyDescent="0.4">
      <c r="A88" s="1" t="s">
        <v>115</v>
      </c>
      <c r="B88" s="94" t="s">
        <v>116</v>
      </c>
      <c r="F88" s="306"/>
      <c r="G88" s="306"/>
      <c r="H88" s="319"/>
      <c r="I88" s="229"/>
      <c r="J88" s="319"/>
      <c r="K88" s="351">
        <v>0</v>
      </c>
    </row>
    <row r="89" spans="1:11" ht="18" customHeight="1" x14ac:dyDescent="0.4">
      <c r="A89" s="1" t="s">
        <v>117</v>
      </c>
      <c r="B89" s="94" t="s">
        <v>58</v>
      </c>
      <c r="F89" s="306"/>
      <c r="G89" s="306"/>
      <c r="H89" s="319"/>
      <c r="I89" s="229"/>
      <c r="J89" s="319"/>
      <c r="K89" s="351">
        <v>0</v>
      </c>
    </row>
    <row r="90" spans="1:11" ht="18" customHeight="1" x14ac:dyDescent="0.4">
      <c r="A90" s="1" t="s">
        <v>118</v>
      </c>
      <c r="B90" s="635" t="s">
        <v>59</v>
      </c>
      <c r="C90" s="636"/>
      <c r="F90" s="306"/>
      <c r="G90" s="306"/>
      <c r="H90" s="319">
        <v>3500</v>
      </c>
      <c r="I90" s="229">
        <v>0</v>
      </c>
      <c r="J90" s="319"/>
      <c r="K90" s="351">
        <v>3500</v>
      </c>
    </row>
    <row r="91" spans="1:11" ht="18" customHeight="1" x14ac:dyDescent="0.4">
      <c r="A91" s="1" t="s">
        <v>119</v>
      </c>
      <c r="B91" s="94" t="s">
        <v>60</v>
      </c>
      <c r="F91" s="306"/>
      <c r="G91" s="306"/>
      <c r="H91" s="319"/>
      <c r="I91" s="229"/>
      <c r="J91" s="319"/>
      <c r="K91" s="351">
        <v>0</v>
      </c>
    </row>
    <row r="92" spans="1:11" ht="18" customHeight="1" x14ac:dyDescent="0.4">
      <c r="A92" s="1" t="s">
        <v>120</v>
      </c>
      <c r="B92" s="94" t="s">
        <v>121</v>
      </c>
      <c r="F92" s="107">
        <v>59</v>
      </c>
      <c r="G92" s="107"/>
      <c r="H92" s="491">
        <v>28651</v>
      </c>
      <c r="I92" s="229">
        <v>1421</v>
      </c>
      <c r="J92" s="491"/>
      <c r="K92" s="351">
        <v>30072</v>
      </c>
    </row>
    <row r="93" spans="1:11" ht="18" customHeight="1" x14ac:dyDescent="0.4">
      <c r="A93" s="1" t="s">
        <v>122</v>
      </c>
      <c r="B93" s="94" t="s">
        <v>123</v>
      </c>
      <c r="F93" s="306">
        <v>26368</v>
      </c>
      <c r="G93" s="306">
        <v>1052</v>
      </c>
      <c r="H93" s="319">
        <v>273395</v>
      </c>
      <c r="I93" s="229">
        <v>203664</v>
      </c>
      <c r="J93" s="319"/>
      <c r="K93" s="351">
        <v>477059</v>
      </c>
    </row>
    <row r="94" spans="1:11" ht="18" customHeight="1" x14ac:dyDescent="0.4">
      <c r="A94" s="1" t="s">
        <v>124</v>
      </c>
      <c r="B94" s="655"/>
      <c r="C94" s="653"/>
      <c r="D94" s="654"/>
      <c r="F94" s="306"/>
      <c r="G94" s="306"/>
      <c r="H94" s="319"/>
      <c r="I94" s="229"/>
      <c r="J94" s="319"/>
      <c r="K94" s="351">
        <v>0</v>
      </c>
    </row>
    <row r="95" spans="1:11" ht="18" customHeight="1" x14ac:dyDescent="0.4">
      <c r="A95" s="1" t="s">
        <v>125</v>
      </c>
      <c r="B95" s="655"/>
      <c r="C95" s="653"/>
      <c r="D95" s="654"/>
      <c r="F95" s="306"/>
      <c r="G95" s="306"/>
      <c r="H95" s="319"/>
      <c r="I95" s="229"/>
      <c r="J95" s="319"/>
      <c r="K95" s="351">
        <v>0</v>
      </c>
    </row>
    <row r="96" spans="1:11" ht="18" customHeight="1" x14ac:dyDescent="0.4">
      <c r="A96" s="1" t="s">
        <v>126</v>
      </c>
      <c r="B96" s="655"/>
      <c r="C96" s="653"/>
      <c r="D96" s="654"/>
      <c r="F96" s="306"/>
      <c r="G96" s="306"/>
      <c r="H96" s="319"/>
      <c r="I96" s="229"/>
      <c r="J96" s="319"/>
      <c r="K96" s="351">
        <v>0</v>
      </c>
    </row>
    <row r="97" spans="1:11" ht="18" customHeight="1" x14ac:dyDescent="0.4">
      <c r="A97" s="1"/>
      <c r="B97" s="94"/>
    </row>
    <row r="98" spans="1:11" ht="18" customHeight="1" x14ac:dyDescent="0.4">
      <c r="A98" s="98" t="s">
        <v>150</v>
      </c>
      <c r="B98" s="95" t="s">
        <v>151</v>
      </c>
      <c r="E98" s="95" t="s">
        <v>7</v>
      </c>
      <c r="F98" s="310">
        <v>26427</v>
      </c>
      <c r="G98" s="310">
        <v>1052</v>
      </c>
      <c r="H98" s="310">
        <v>910797</v>
      </c>
      <c r="I98" s="310">
        <v>272328</v>
      </c>
      <c r="J98" s="310">
        <v>0</v>
      </c>
      <c r="K98" s="310">
        <v>1183125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c r="G102" s="306"/>
      <c r="H102" s="319">
        <v>41234</v>
      </c>
      <c r="I102" s="229">
        <v>31173</v>
      </c>
      <c r="J102" s="319"/>
      <c r="K102" s="351">
        <v>72407</v>
      </c>
    </row>
    <row r="103" spans="1:11" ht="18" customHeight="1" x14ac:dyDescent="0.4">
      <c r="A103" s="1" t="s">
        <v>132</v>
      </c>
      <c r="B103" s="635" t="s">
        <v>62</v>
      </c>
      <c r="C103" s="635"/>
      <c r="F103" s="306">
        <v>5053</v>
      </c>
      <c r="G103" s="306"/>
      <c r="H103" s="319">
        <v>240079</v>
      </c>
      <c r="I103" s="229">
        <v>181501</v>
      </c>
      <c r="J103" s="319"/>
      <c r="K103" s="351">
        <v>421580</v>
      </c>
    </row>
    <row r="104" spans="1:11" ht="18" customHeight="1" x14ac:dyDescent="0.4">
      <c r="A104" s="1" t="s">
        <v>128</v>
      </c>
      <c r="B104" s="652" t="s">
        <v>298</v>
      </c>
      <c r="C104" s="653"/>
      <c r="D104" s="654"/>
      <c r="F104" s="306"/>
      <c r="G104" s="306"/>
      <c r="H104" s="319">
        <v>143497</v>
      </c>
      <c r="I104" s="229"/>
      <c r="J104" s="319"/>
      <c r="K104" s="351">
        <v>143497</v>
      </c>
    </row>
    <row r="105" spans="1:11" ht="18" customHeight="1" x14ac:dyDescent="0.4">
      <c r="A105" s="1" t="s">
        <v>127</v>
      </c>
      <c r="B105" s="655"/>
      <c r="C105" s="653"/>
      <c r="D105" s="654"/>
      <c r="F105" s="306"/>
      <c r="G105" s="306"/>
      <c r="H105" s="319"/>
      <c r="I105" s="229"/>
      <c r="J105" s="319"/>
      <c r="K105" s="351">
        <v>0</v>
      </c>
    </row>
    <row r="106" spans="1:11" ht="18" customHeight="1" x14ac:dyDescent="0.4">
      <c r="A106" s="1" t="s">
        <v>129</v>
      </c>
      <c r="B106" s="655"/>
      <c r="C106" s="653"/>
      <c r="D106" s="654"/>
      <c r="F106" s="306"/>
      <c r="G106" s="306"/>
      <c r="H106" s="319"/>
      <c r="I106" s="229"/>
      <c r="J106" s="319"/>
      <c r="K106" s="351">
        <v>0</v>
      </c>
    </row>
    <row r="107" spans="1:11" ht="18" customHeight="1" x14ac:dyDescent="0.4">
      <c r="B107" s="95"/>
      <c r="H107" s="87"/>
      <c r="I107" s="87"/>
      <c r="J107" s="87"/>
      <c r="K107" s="87"/>
    </row>
    <row r="108" spans="1:11" ht="18" customHeight="1" x14ac:dyDescent="0.4">
      <c r="A108" s="98" t="s">
        <v>153</v>
      </c>
      <c r="B108" s="95" t="s">
        <v>154</v>
      </c>
      <c r="E108" s="95" t="s">
        <v>7</v>
      </c>
      <c r="F108" s="310">
        <v>5053</v>
      </c>
      <c r="G108" s="310">
        <v>0</v>
      </c>
      <c r="H108" s="351">
        <v>424810</v>
      </c>
      <c r="I108" s="351">
        <v>212674</v>
      </c>
      <c r="J108" s="351">
        <v>0</v>
      </c>
      <c r="K108" s="351">
        <v>637484</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19">
        <v>4735612</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0.75629999999999997</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19">
        <v>177097602.37</v>
      </c>
    </row>
    <row r="118" spans="1:6" ht="18" customHeight="1" x14ac:dyDescent="0.4">
      <c r="A118" s="1" t="s">
        <v>173</v>
      </c>
      <c r="B118" t="s">
        <v>18</v>
      </c>
      <c r="F118" s="319">
        <v>2780021.35</v>
      </c>
    </row>
    <row r="119" spans="1:6" ht="18" customHeight="1" x14ac:dyDescent="0.4">
      <c r="A119" s="1" t="s">
        <v>174</v>
      </c>
      <c r="B119" s="95" t="s">
        <v>19</v>
      </c>
      <c r="F119" s="351">
        <v>179877623.72</v>
      </c>
    </row>
    <row r="120" spans="1:6" ht="18" customHeight="1" x14ac:dyDescent="0.4">
      <c r="A120" s="1"/>
      <c r="B120" s="95"/>
      <c r="F120" s="87"/>
    </row>
    <row r="121" spans="1:6" ht="18" customHeight="1" x14ac:dyDescent="0.4">
      <c r="A121" s="1" t="s">
        <v>167</v>
      </c>
      <c r="B121" s="95" t="s">
        <v>36</v>
      </c>
      <c r="F121" s="319">
        <v>162834941.59999999</v>
      </c>
    </row>
    <row r="122" spans="1:6" ht="18" customHeight="1" x14ac:dyDescent="0.4">
      <c r="A122" s="1"/>
      <c r="F122" s="87"/>
    </row>
    <row r="123" spans="1:6" ht="18" customHeight="1" x14ac:dyDescent="0.4">
      <c r="A123" s="1" t="s">
        <v>175</v>
      </c>
      <c r="B123" s="95" t="s">
        <v>20</v>
      </c>
      <c r="F123" s="319">
        <v>17042682.120000005</v>
      </c>
    </row>
    <row r="124" spans="1:6" ht="18" customHeight="1" x14ac:dyDescent="0.4">
      <c r="A124" s="1"/>
      <c r="F124" s="87"/>
    </row>
    <row r="125" spans="1:6" ht="18" customHeight="1" x14ac:dyDescent="0.4">
      <c r="A125" s="1" t="s">
        <v>176</v>
      </c>
      <c r="B125" s="95" t="s">
        <v>21</v>
      </c>
      <c r="F125" s="319">
        <v>1323388.8600000001</v>
      </c>
    </row>
    <row r="126" spans="1:6" ht="18" customHeight="1" x14ac:dyDescent="0.4">
      <c r="A126" s="1"/>
      <c r="F126" s="87"/>
    </row>
    <row r="127" spans="1:6" ht="18" customHeight="1" x14ac:dyDescent="0.4">
      <c r="A127" s="1" t="s">
        <v>177</v>
      </c>
      <c r="B127" s="95" t="s">
        <v>22</v>
      </c>
      <c r="F127" s="319">
        <v>18366070.980000004</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v>15960</v>
      </c>
      <c r="G141" s="109">
        <v>18046</v>
      </c>
      <c r="H141" s="109">
        <v>935534</v>
      </c>
      <c r="I141" s="109">
        <v>427309</v>
      </c>
      <c r="J141" s="109">
        <v>241653</v>
      </c>
      <c r="K141" s="109">
        <v>1121190</v>
      </c>
    </row>
    <row r="142" spans="1:11" ht="18" customHeight="1" x14ac:dyDescent="0.4">
      <c r="A142" s="1" t="s">
        <v>142</v>
      </c>
      <c r="B142" s="95" t="s">
        <v>65</v>
      </c>
      <c r="F142" s="109">
        <v>21</v>
      </c>
      <c r="G142" s="109">
        <v>36</v>
      </c>
      <c r="H142" s="109">
        <v>80028</v>
      </c>
      <c r="I142" s="109">
        <v>1012</v>
      </c>
      <c r="J142" s="109">
        <v>0</v>
      </c>
      <c r="K142" s="109">
        <v>81040</v>
      </c>
    </row>
    <row r="143" spans="1:11" ht="18" customHeight="1" x14ac:dyDescent="0.4">
      <c r="A143" s="1" t="s">
        <v>144</v>
      </c>
      <c r="B143" s="95" t="s">
        <v>66</v>
      </c>
      <c r="F143" s="109">
        <v>0</v>
      </c>
      <c r="G143" s="109">
        <v>0</v>
      </c>
      <c r="H143" s="109">
        <v>11367520</v>
      </c>
      <c r="I143" s="109">
        <v>0</v>
      </c>
      <c r="J143" s="109">
        <v>1830953</v>
      </c>
      <c r="K143" s="109">
        <v>9536567</v>
      </c>
    </row>
    <row r="144" spans="1:11" ht="18" customHeight="1" x14ac:dyDescent="0.4">
      <c r="A144" s="1" t="s">
        <v>146</v>
      </c>
      <c r="B144" s="95" t="s">
        <v>67</v>
      </c>
      <c r="F144" s="109">
        <v>0</v>
      </c>
      <c r="G144" s="109">
        <v>0</v>
      </c>
      <c r="H144" s="109">
        <v>0</v>
      </c>
      <c r="I144" s="109">
        <v>0</v>
      </c>
      <c r="J144" s="109">
        <v>0</v>
      </c>
      <c r="K144" s="109">
        <v>0</v>
      </c>
    </row>
    <row r="145" spans="1:11" ht="18" customHeight="1" x14ac:dyDescent="0.4">
      <c r="A145" s="1" t="s">
        <v>148</v>
      </c>
      <c r="B145" s="95" t="s">
        <v>68</v>
      </c>
      <c r="F145" s="109">
        <v>28</v>
      </c>
      <c r="G145" s="109">
        <v>49</v>
      </c>
      <c r="H145" s="109">
        <v>479539</v>
      </c>
      <c r="I145" s="109">
        <v>0</v>
      </c>
      <c r="J145" s="109">
        <v>0</v>
      </c>
      <c r="K145" s="109">
        <v>479539</v>
      </c>
    </row>
    <row r="146" spans="1:11" ht="18" customHeight="1" x14ac:dyDescent="0.4">
      <c r="A146" s="1" t="s">
        <v>150</v>
      </c>
      <c r="B146" s="95" t="s">
        <v>69</v>
      </c>
      <c r="F146" s="109">
        <v>26427</v>
      </c>
      <c r="G146" s="109">
        <v>1052</v>
      </c>
      <c r="H146" s="109">
        <v>910797</v>
      </c>
      <c r="I146" s="109">
        <v>272328</v>
      </c>
      <c r="J146" s="109">
        <v>0</v>
      </c>
      <c r="K146" s="109">
        <v>1183125</v>
      </c>
    </row>
    <row r="147" spans="1:11" ht="18" customHeight="1" x14ac:dyDescent="0.4">
      <c r="A147" s="1" t="s">
        <v>153</v>
      </c>
      <c r="B147" s="95" t="s">
        <v>61</v>
      </c>
      <c r="F147" s="310">
        <v>5053</v>
      </c>
      <c r="G147" s="310">
        <v>0</v>
      </c>
      <c r="H147" s="310">
        <v>424810</v>
      </c>
      <c r="I147" s="310">
        <v>212674</v>
      </c>
      <c r="J147" s="310">
        <v>0</v>
      </c>
      <c r="K147" s="310">
        <v>637484</v>
      </c>
    </row>
    <row r="148" spans="1:11" ht="18" customHeight="1" x14ac:dyDescent="0.4">
      <c r="A148" s="1" t="s">
        <v>155</v>
      </c>
      <c r="B148" s="95" t="s">
        <v>70</v>
      </c>
      <c r="F148" s="110" t="s">
        <v>73</v>
      </c>
      <c r="G148" s="110" t="s">
        <v>73</v>
      </c>
      <c r="H148" s="111" t="s">
        <v>73</v>
      </c>
      <c r="I148" s="111" t="s">
        <v>73</v>
      </c>
      <c r="J148" s="111" t="s">
        <v>73</v>
      </c>
      <c r="K148" s="217">
        <v>4735612</v>
      </c>
    </row>
    <row r="149" spans="1:11" ht="18" customHeight="1" x14ac:dyDescent="0.4">
      <c r="A149" s="1" t="s">
        <v>163</v>
      </c>
      <c r="B149" s="95" t="s">
        <v>71</v>
      </c>
      <c r="F149" s="310">
        <v>0</v>
      </c>
      <c r="G149" s="310">
        <v>0</v>
      </c>
      <c r="H149" s="310">
        <v>0</v>
      </c>
      <c r="I149" s="310">
        <v>0</v>
      </c>
      <c r="J149" s="310">
        <v>0</v>
      </c>
      <c r="K149" s="310">
        <v>0</v>
      </c>
    </row>
    <row r="150" spans="1:11" ht="18" customHeight="1" x14ac:dyDescent="0.4">
      <c r="A150" s="1" t="s">
        <v>185</v>
      </c>
      <c r="B150" s="95" t="s">
        <v>186</v>
      </c>
      <c r="F150" s="110" t="s">
        <v>73</v>
      </c>
      <c r="G150" s="110" t="s">
        <v>73</v>
      </c>
      <c r="H150" s="307">
        <v>3595933.76</v>
      </c>
      <c r="I150" s="229">
        <v>0</v>
      </c>
      <c r="J150" s="307">
        <v>2980202.58</v>
      </c>
      <c r="K150" s="308">
        <f>H150-J150</f>
        <v>615731.1799999997</v>
      </c>
    </row>
    <row r="151" spans="1:11" ht="18" customHeight="1" x14ac:dyDescent="0.4">
      <c r="B151" s="95"/>
      <c r="F151" s="113"/>
      <c r="G151" s="113"/>
      <c r="H151" s="113"/>
      <c r="I151" s="113"/>
      <c r="J151" s="113"/>
      <c r="K151" s="113"/>
    </row>
    <row r="152" spans="1:11" ht="18" customHeight="1" x14ac:dyDescent="0.4">
      <c r="A152" s="98" t="s">
        <v>165</v>
      </c>
      <c r="B152" s="95" t="s">
        <v>26</v>
      </c>
      <c r="F152" s="114">
        <v>47489</v>
      </c>
      <c r="G152" s="114">
        <v>19183</v>
      </c>
      <c r="H152" s="114">
        <f>SUM(H141:H150)</f>
        <v>17794161.759999998</v>
      </c>
      <c r="I152" s="114">
        <f t="shared" ref="I152:K152" si="0">SUM(I141:I150)</f>
        <v>913323</v>
      </c>
      <c r="J152" s="114">
        <f t="shared" si="0"/>
        <v>5052808.58</v>
      </c>
      <c r="K152" s="114">
        <f t="shared" si="0"/>
        <v>18390288.18</v>
      </c>
    </row>
    <row r="154" spans="1:11" ht="18" customHeight="1" x14ac:dyDescent="0.4">
      <c r="A154" s="98" t="s">
        <v>168</v>
      </c>
      <c r="B154" s="95" t="s">
        <v>28</v>
      </c>
      <c r="F154" s="318">
        <v>0.11299862191248515</v>
      </c>
    </row>
    <row r="155" spans="1:11" ht="18" customHeight="1" x14ac:dyDescent="0.4">
      <c r="A155" s="98" t="s">
        <v>169</v>
      </c>
      <c r="B155" s="95" t="s">
        <v>72</v>
      </c>
      <c r="F155" s="318">
        <v>1.0018541265596261</v>
      </c>
      <c r="G155" s="95"/>
    </row>
    <row r="156" spans="1:11" ht="18" customHeight="1" x14ac:dyDescent="0.4">
      <c r="G156" s="95"/>
    </row>
    <row r="157" spans="1:11" ht="18" customHeight="1" x14ac:dyDescent="0.4">
      <c r="H157" s="189"/>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xr:uid="{15255446-5BDB-4611-9D7F-283A6490C1F9}"/>
  </hyperlinks>
  <pageMargins left="0.7" right="0.7" top="0.75" bottom="0.75" header="0.3" footer="0.3"/>
  <pageSetup scale="40" orientation="landscape" r:id="rId2"/>
  <headerFooter>
    <oddFooter>&amp;L&amp;Z&amp;F&amp;A&amp;R&amp;P of &amp;N</oddFooter>
  </headerFooter>
  <rowBreaks count="2" manualBreakCount="2">
    <brk id="65" max="16383" man="1"/>
    <brk id="10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S130"/>
  <sheetViews>
    <sheetView zoomScale="80" zoomScaleNormal="80" zoomScaleSheetLayoutView="70" workbookViewId="0">
      <selection activeCell="A2" sqref="A2"/>
    </sheetView>
  </sheetViews>
  <sheetFormatPr defaultColWidth="9.27734375" defaultRowHeight="14.4" x14ac:dyDescent="0.55000000000000004"/>
  <cols>
    <col min="1" max="1" width="23" style="137" customWidth="1"/>
    <col min="2" max="2" width="19.109375" style="137" bestFit="1" customWidth="1"/>
    <col min="3" max="3" width="18.609375" style="137" customWidth="1"/>
    <col min="4" max="4" width="17.609375" style="137" customWidth="1"/>
    <col min="5" max="5" width="22.27734375" style="137" customWidth="1"/>
    <col min="6" max="17" width="9.27734375" style="137"/>
    <col min="18" max="18" width="27" style="137" customWidth="1"/>
    <col min="19" max="16384" width="9.27734375" style="137"/>
  </cols>
  <sheetData>
    <row r="1" spans="1:19" x14ac:dyDescent="0.55000000000000004">
      <c r="A1" s="171" t="s">
        <v>385</v>
      </c>
      <c r="B1" s="2"/>
      <c r="C1" s="2"/>
      <c r="D1" s="2"/>
      <c r="E1" s="2"/>
      <c r="F1" s="2"/>
      <c r="G1" s="2"/>
      <c r="H1" s="2"/>
      <c r="I1" s="2"/>
      <c r="J1" s="2"/>
      <c r="K1" s="2"/>
      <c r="L1" s="2"/>
      <c r="M1" s="2"/>
      <c r="N1" s="2"/>
      <c r="O1" s="2"/>
    </row>
    <row r="2" spans="1:19" ht="43.2" x14ac:dyDescent="0.55000000000000004">
      <c r="A2" s="5" t="s">
        <v>217</v>
      </c>
      <c r="B2" s="5" t="s">
        <v>202</v>
      </c>
      <c r="C2" s="5" t="s">
        <v>204</v>
      </c>
      <c r="D2" s="2"/>
      <c r="E2" s="2"/>
      <c r="F2" s="2"/>
      <c r="G2" s="2"/>
      <c r="H2" s="2"/>
      <c r="I2" s="2"/>
      <c r="J2" s="2"/>
      <c r="K2" s="2"/>
      <c r="L2" s="2"/>
      <c r="M2" s="2"/>
      <c r="N2" s="2"/>
      <c r="O2" s="2"/>
    </row>
    <row r="3" spans="1:19" ht="41.25" customHeight="1" x14ac:dyDescent="0.55000000000000004">
      <c r="A3" s="172" t="s">
        <v>497</v>
      </c>
      <c r="B3" s="173">
        <f>'CB Table 1'!E12</f>
        <v>0.17949352816409628</v>
      </c>
      <c r="C3" s="173">
        <f>'CB Table 1'!G12</f>
        <v>1.3304564485250785E-2</v>
      </c>
      <c r="D3" s="2"/>
      <c r="E3" s="2"/>
      <c r="F3" s="2"/>
      <c r="G3" s="2"/>
      <c r="H3" s="2"/>
      <c r="I3" s="2"/>
      <c r="J3" s="2"/>
      <c r="K3" s="2"/>
      <c r="L3" s="2"/>
      <c r="M3" s="2"/>
      <c r="N3" s="2"/>
      <c r="O3" s="2"/>
      <c r="Q3" s="140"/>
      <c r="R3" s="141"/>
      <c r="S3" s="139"/>
    </row>
    <row r="4" spans="1:19" ht="25.8" x14ac:dyDescent="0.55000000000000004">
      <c r="A4" s="172" t="s">
        <v>207</v>
      </c>
      <c r="B4" s="173">
        <f>'CB Table 1'!$E$6</f>
        <v>0.36912981210194562</v>
      </c>
      <c r="C4" s="173">
        <f>'CB Table 1'!$G$6</f>
        <v>0.57975329496691963</v>
      </c>
      <c r="D4" s="2"/>
      <c r="E4" s="2"/>
      <c r="F4" s="2"/>
      <c r="G4" s="2"/>
      <c r="H4" s="2"/>
      <c r="I4" s="2"/>
      <c r="J4" s="2"/>
      <c r="K4" s="2"/>
      <c r="L4" s="2"/>
      <c r="M4" s="2"/>
      <c r="N4" s="2"/>
      <c r="O4" s="2"/>
      <c r="Q4" s="140"/>
      <c r="R4" s="141"/>
      <c r="S4" s="139"/>
    </row>
    <row r="5" spans="1:19" ht="25.8" x14ac:dyDescent="0.55000000000000004">
      <c r="A5" s="172" t="s">
        <v>206</v>
      </c>
      <c r="B5" s="173">
        <f>'CB Table 1'!$E$5</f>
        <v>0.3138274379903373</v>
      </c>
      <c r="C5" s="173">
        <f>'CB Table 1'!$G$5</f>
        <v>0.19090807363812157</v>
      </c>
      <c r="D5" s="2"/>
      <c r="E5" s="2"/>
      <c r="F5" s="2"/>
      <c r="G5" s="2"/>
      <c r="H5" s="2"/>
      <c r="I5" s="2"/>
      <c r="J5" s="2"/>
      <c r="K5" s="2"/>
      <c r="L5" s="2"/>
      <c r="M5" s="2"/>
      <c r="N5" s="2"/>
      <c r="O5" s="2"/>
      <c r="Q5" s="140"/>
      <c r="R5" s="141"/>
      <c r="S5" s="139"/>
    </row>
    <row r="6" spans="1:19" ht="27" customHeight="1" x14ac:dyDescent="0.55000000000000004">
      <c r="A6" s="172" t="s">
        <v>64</v>
      </c>
      <c r="B6" s="173">
        <f>'CB Table 1'!E4</f>
        <v>6.6264836727943727E-2</v>
      </c>
      <c r="C6" s="173">
        <f>'CB Table 1'!G4</f>
        <v>0.10407519570069382</v>
      </c>
      <c r="D6" s="2"/>
      <c r="E6" s="2"/>
      <c r="F6" s="2"/>
      <c r="G6" s="2"/>
      <c r="H6" s="2"/>
      <c r="I6" s="2"/>
      <c r="J6" s="2"/>
      <c r="K6" s="2"/>
      <c r="L6" s="2"/>
      <c r="M6" s="2"/>
      <c r="N6" s="2"/>
      <c r="O6" s="2"/>
      <c r="Q6" s="140"/>
      <c r="R6" s="141"/>
      <c r="S6" s="139"/>
    </row>
    <row r="7" spans="1:19" ht="25.8" x14ac:dyDescent="0.55000000000000004">
      <c r="A7" s="172" t="s">
        <v>205</v>
      </c>
      <c r="B7" s="173">
        <f>'CB Table 1'!E3</f>
        <v>2.90723838846518E-2</v>
      </c>
      <c r="C7" s="173">
        <f>'CB Table 1'!G3</f>
        <v>4.566092956213226E-2</v>
      </c>
      <c r="D7" s="2"/>
      <c r="E7" s="2"/>
      <c r="F7" s="2"/>
      <c r="G7" s="2"/>
      <c r="H7" s="2"/>
      <c r="I7" s="2"/>
      <c r="J7" s="2"/>
      <c r="K7" s="2"/>
      <c r="L7" s="2"/>
      <c r="M7" s="2"/>
      <c r="N7" s="2"/>
      <c r="O7" s="2"/>
      <c r="Q7" s="140"/>
      <c r="R7" s="141"/>
      <c r="S7" s="139"/>
    </row>
    <row r="8" spans="1:19" x14ac:dyDescent="0.55000000000000004">
      <c r="A8" s="172" t="s">
        <v>25</v>
      </c>
      <c r="B8" s="173">
        <f>'CB Table 1'!$E$9</f>
        <v>1.9368959605736799E-2</v>
      </c>
      <c r="C8" s="173">
        <f>'CB Table 1'!$G$9</f>
        <v>3.0420783646718328E-2</v>
      </c>
      <c r="D8" s="2"/>
      <c r="E8" s="2"/>
      <c r="F8" s="2"/>
      <c r="G8" s="2"/>
      <c r="H8" s="2"/>
      <c r="I8" s="2"/>
      <c r="J8" s="2"/>
      <c r="K8" s="2"/>
      <c r="L8" s="2"/>
      <c r="M8" s="2"/>
      <c r="N8" s="2"/>
      <c r="O8" s="2"/>
      <c r="Q8" s="140"/>
      <c r="R8" s="141"/>
      <c r="S8" s="139"/>
    </row>
    <row r="9" spans="1:19" ht="27.75" customHeight="1" x14ac:dyDescent="0.55000000000000004">
      <c r="A9" s="172" t="s">
        <v>68</v>
      </c>
      <c r="B9" s="173">
        <f>'CB Table 1'!$E$8</f>
        <v>7.6297796493328867E-3</v>
      </c>
      <c r="C9" s="173">
        <f>'CB Table 1'!$G$8</f>
        <v>1.1983290827646957E-2</v>
      </c>
      <c r="D9" s="2"/>
      <c r="E9" s="2"/>
      <c r="F9" s="2"/>
      <c r="G9" s="2"/>
      <c r="H9" s="2"/>
      <c r="I9" s="2"/>
      <c r="J9" s="2"/>
      <c r="K9" s="2"/>
      <c r="L9" s="2"/>
      <c r="M9" s="2"/>
      <c r="N9" s="2"/>
      <c r="O9" s="2"/>
      <c r="Q9" s="140"/>
      <c r="R9" s="141"/>
      <c r="S9" s="139"/>
    </row>
    <row r="10" spans="1:19" ht="22.5" customHeight="1" x14ac:dyDescent="0.55000000000000004">
      <c r="A10" s="172" t="s">
        <v>67</v>
      </c>
      <c r="B10" s="173">
        <f>'CB Table 1'!$E$7</f>
        <v>7.9580815159337771E-3</v>
      </c>
      <c r="C10" s="173">
        <f>'CB Table 1'!$G$7</f>
        <v>1.2498919971285698E-2</v>
      </c>
      <c r="D10" s="2"/>
      <c r="E10" s="2"/>
      <c r="F10" s="2"/>
      <c r="G10" s="2"/>
      <c r="H10" s="2"/>
      <c r="I10" s="2"/>
      <c r="J10" s="2"/>
      <c r="K10" s="2"/>
      <c r="L10" s="2"/>
      <c r="M10" s="2"/>
      <c r="N10" s="2"/>
      <c r="O10" s="2"/>
      <c r="Q10" s="140"/>
      <c r="R10" s="141"/>
      <c r="S10" s="139"/>
    </row>
    <row r="11" spans="1:19" ht="25.8" x14ac:dyDescent="0.55000000000000004">
      <c r="A11" s="172" t="s">
        <v>61</v>
      </c>
      <c r="B11" s="173">
        <f>'CB Table 1'!$E$10</f>
        <v>6.6553735413758192E-3</v>
      </c>
      <c r="C11" s="173">
        <f>'CB Table 1'!$G$10</f>
        <v>1.0452893842079222E-2</v>
      </c>
      <c r="D11" s="2"/>
      <c r="E11" s="2"/>
      <c r="F11" s="2"/>
      <c r="G11" s="2"/>
      <c r="H11" s="2"/>
      <c r="I11" s="2"/>
      <c r="J11" s="2"/>
      <c r="K11" s="2"/>
      <c r="L11" s="2"/>
      <c r="M11" s="2"/>
      <c r="N11" s="2"/>
      <c r="O11" s="2"/>
      <c r="Q11" s="140"/>
      <c r="R11" s="141"/>
      <c r="S11" s="139"/>
    </row>
    <row r="12" spans="1:19" x14ac:dyDescent="0.55000000000000004">
      <c r="A12" s="2"/>
      <c r="B12" s="174">
        <f>SUM(B3:B11)</f>
        <v>0.99940019318135398</v>
      </c>
      <c r="C12" s="174">
        <f>SUM(C3:C11)</f>
        <v>0.99905794664084824</v>
      </c>
      <c r="D12" s="2"/>
      <c r="E12" s="2"/>
      <c r="F12" s="2"/>
      <c r="G12" s="2"/>
      <c r="H12" s="2"/>
      <c r="I12" s="2"/>
      <c r="J12" s="2"/>
      <c r="K12" s="2"/>
      <c r="L12" s="2"/>
      <c r="M12" s="2"/>
      <c r="N12" s="2"/>
      <c r="O12" s="2"/>
    </row>
    <row r="13" spans="1:19" x14ac:dyDescent="0.55000000000000004">
      <c r="A13" s="72" t="s">
        <v>383</v>
      </c>
      <c r="B13" s="2"/>
      <c r="C13" s="2"/>
      <c r="D13" s="2"/>
      <c r="E13" s="2"/>
      <c r="F13" s="2"/>
      <c r="G13" s="2"/>
      <c r="H13" s="2"/>
      <c r="I13" s="2"/>
      <c r="J13" s="2"/>
      <c r="K13" s="2"/>
      <c r="L13" s="2"/>
      <c r="M13" s="2"/>
      <c r="N13" s="2"/>
      <c r="O13" s="2"/>
    </row>
    <row r="14" spans="1:19" x14ac:dyDescent="0.55000000000000004">
      <c r="A14" s="2"/>
      <c r="B14" s="2"/>
      <c r="C14" s="2"/>
      <c r="D14" s="2"/>
      <c r="E14" s="2"/>
      <c r="F14" s="2"/>
      <c r="G14" s="2"/>
      <c r="H14" s="2"/>
      <c r="I14" s="2"/>
      <c r="J14" s="2"/>
      <c r="K14" s="2"/>
      <c r="L14" s="2"/>
      <c r="M14" s="2"/>
      <c r="N14" s="2"/>
      <c r="O14" s="2"/>
    </row>
    <row r="15" spans="1:19" x14ac:dyDescent="0.55000000000000004">
      <c r="A15" s="2"/>
      <c r="B15" s="2"/>
      <c r="C15" s="2"/>
      <c r="D15" s="2"/>
      <c r="E15" s="2"/>
      <c r="F15" s="2"/>
      <c r="G15" s="2"/>
      <c r="H15" s="2"/>
      <c r="I15" s="2"/>
      <c r="J15" s="2"/>
      <c r="K15" s="2"/>
      <c r="L15" s="2"/>
      <c r="M15" s="2"/>
      <c r="N15" s="2"/>
      <c r="O15" s="2"/>
    </row>
    <row r="16" spans="1:19" x14ac:dyDescent="0.55000000000000004">
      <c r="A16" s="2"/>
      <c r="B16" s="2"/>
      <c r="C16" s="2"/>
      <c r="D16" s="2"/>
      <c r="E16" s="2"/>
      <c r="F16" s="2"/>
      <c r="G16" s="2"/>
      <c r="H16" s="2"/>
      <c r="I16" s="2"/>
      <c r="J16" s="2"/>
      <c r="K16" s="2"/>
      <c r="L16" s="2"/>
      <c r="M16" s="2"/>
      <c r="N16" s="2"/>
      <c r="O16" s="2"/>
    </row>
    <row r="17" spans="1:15" x14ac:dyDescent="0.55000000000000004">
      <c r="A17" s="2"/>
      <c r="B17" s="2"/>
      <c r="C17" s="2"/>
      <c r="D17" s="2"/>
      <c r="E17" s="2"/>
      <c r="F17" s="2"/>
      <c r="G17" s="2"/>
      <c r="H17" s="2"/>
      <c r="I17" s="2"/>
      <c r="J17" s="2"/>
      <c r="K17" s="2"/>
      <c r="L17" s="2"/>
      <c r="M17" s="2"/>
      <c r="N17" s="2"/>
      <c r="O17" s="2"/>
    </row>
    <row r="18" spans="1:15" x14ac:dyDescent="0.55000000000000004">
      <c r="A18" s="2"/>
      <c r="B18" s="2"/>
      <c r="C18" s="2"/>
      <c r="D18" s="2"/>
      <c r="E18" s="2"/>
      <c r="F18" s="2"/>
      <c r="G18" s="2"/>
      <c r="H18" s="2"/>
      <c r="I18" s="2"/>
      <c r="J18" s="2"/>
      <c r="K18" s="2"/>
      <c r="L18" s="2"/>
      <c r="M18" s="2"/>
      <c r="N18" s="2"/>
      <c r="O18" s="2"/>
    </row>
    <row r="19" spans="1:15" ht="18.3" x14ac:dyDescent="0.7">
      <c r="A19" s="175" t="s">
        <v>852</v>
      </c>
      <c r="B19" s="2"/>
      <c r="C19" s="2"/>
      <c r="D19" s="2"/>
      <c r="E19" s="2"/>
      <c r="F19" s="2"/>
      <c r="G19" s="2"/>
      <c r="H19" s="2"/>
      <c r="I19" s="2"/>
      <c r="J19" s="2"/>
      <c r="K19" s="2"/>
      <c r="L19" s="2"/>
      <c r="M19" s="2"/>
      <c r="N19" s="2"/>
      <c r="O19" s="2"/>
    </row>
    <row r="20" spans="1:15" x14ac:dyDescent="0.55000000000000004">
      <c r="A20" s="2"/>
      <c r="B20" s="2"/>
      <c r="C20" s="2"/>
      <c r="D20" s="2"/>
      <c r="E20" s="2"/>
      <c r="F20" s="2"/>
      <c r="G20" s="2"/>
      <c r="H20" s="2"/>
      <c r="I20" s="2"/>
      <c r="J20" s="2"/>
      <c r="K20" s="2"/>
      <c r="L20" s="2"/>
      <c r="M20" s="2"/>
      <c r="N20" s="2"/>
      <c r="O20" s="2"/>
    </row>
    <row r="21" spans="1:15" x14ac:dyDescent="0.55000000000000004">
      <c r="A21" s="176" t="s">
        <v>210</v>
      </c>
      <c r="B21" s="176" t="s">
        <v>70</v>
      </c>
      <c r="C21" s="176" t="s">
        <v>197</v>
      </c>
      <c r="D21" s="176" t="s">
        <v>216</v>
      </c>
      <c r="E21" s="177" t="s">
        <v>381</v>
      </c>
      <c r="F21" s="2"/>
      <c r="G21" s="2"/>
      <c r="H21" s="2"/>
      <c r="I21" s="2"/>
      <c r="J21" s="2"/>
      <c r="K21" s="2"/>
      <c r="L21" s="2"/>
      <c r="M21" s="2"/>
      <c r="N21" s="2"/>
      <c r="O21" s="2"/>
    </row>
    <row r="22" spans="1:15" x14ac:dyDescent="0.55000000000000004">
      <c r="A22" s="2">
        <v>2011</v>
      </c>
      <c r="B22" s="178">
        <f t="shared" ref="B22:D30" si="0">+B32/1000000</f>
        <v>374.89863100000002</v>
      </c>
      <c r="C22" s="178">
        <f t="shared" si="0"/>
        <v>235.386426</v>
      </c>
      <c r="D22" s="178">
        <f t="shared" si="0"/>
        <v>12.317156000000001</v>
      </c>
      <c r="E22" s="178">
        <f>SUM(B22:D22)</f>
        <v>622.60221300000001</v>
      </c>
      <c r="F22" s="2"/>
      <c r="G22" s="2"/>
      <c r="H22" s="2"/>
      <c r="I22" s="2"/>
      <c r="J22" s="2"/>
      <c r="K22" s="2"/>
      <c r="L22" s="2"/>
      <c r="M22" s="2"/>
      <c r="N22" s="2"/>
      <c r="O22" s="2"/>
    </row>
    <row r="23" spans="1:15" x14ac:dyDescent="0.55000000000000004">
      <c r="A23" s="2">
        <v>2012</v>
      </c>
      <c r="B23" s="178">
        <f t="shared" si="0"/>
        <v>442.00888400000002</v>
      </c>
      <c r="C23" s="178">
        <f t="shared" si="0"/>
        <v>272.34654399999999</v>
      </c>
      <c r="D23" s="178">
        <f t="shared" si="0"/>
        <v>12.259686</v>
      </c>
      <c r="E23" s="178">
        <f>SUM(B23:D23)</f>
        <v>726.61511400000006</v>
      </c>
      <c r="F23" s="2"/>
      <c r="G23" s="2"/>
      <c r="H23" s="2"/>
      <c r="I23" s="2"/>
      <c r="J23" s="2"/>
      <c r="K23" s="2"/>
      <c r="L23" s="2"/>
      <c r="M23" s="2"/>
      <c r="N23" s="2"/>
      <c r="O23" s="2"/>
    </row>
    <row r="24" spans="1:15" x14ac:dyDescent="0.55000000000000004">
      <c r="A24" s="2">
        <v>2013</v>
      </c>
      <c r="B24" s="178">
        <f t="shared" si="0"/>
        <v>462.590418</v>
      </c>
      <c r="C24" s="178">
        <f t="shared" si="0"/>
        <v>316.213911</v>
      </c>
      <c r="D24" s="178">
        <f t="shared" si="0"/>
        <v>13.303674000000001</v>
      </c>
      <c r="E24" s="178">
        <f>SUM(B24:D24)</f>
        <v>792.10800300000005</v>
      </c>
      <c r="F24" s="2"/>
      <c r="G24" s="2"/>
      <c r="H24" s="2"/>
      <c r="I24" s="2"/>
      <c r="J24" s="2"/>
      <c r="K24" s="2"/>
      <c r="L24" s="2"/>
      <c r="M24" s="2"/>
      <c r="N24" s="2"/>
      <c r="O24" s="2"/>
    </row>
    <row r="25" spans="1:15" x14ac:dyDescent="0.55000000000000004">
      <c r="A25" s="2">
        <v>2014</v>
      </c>
      <c r="B25" s="178">
        <f t="shared" si="0"/>
        <v>463.908838</v>
      </c>
      <c r="C25" s="178">
        <f t="shared" si="0"/>
        <v>294.40706</v>
      </c>
      <c r="D25" s="178">
        <f t="shared" si="0"/>
        <v>15.140921000000001</v>
      </c>
      <c r="E25" s="178">
        <f>SUM(B25:D25)</f>
        <v>773.45681900000011</v>
      </c>
      <c r="F25" s="2"/>
      <c r="G25" s="2"/>
      <c r="H25" s="2"/>
      <c r="I25" s="2"/>
      <c r="J25" s="2"/>
      <c r="K25" s="2"/>
      <c r="L25" s="2"/>
      <c r="M25" s="2"/>
      <c r="N25" s="2"/>
      <c r="O25" s="2"/>
    </row>
    <row r="26" spans="1:15" x14ac:dyDescent="0.55000000000000004">
      <c r="A26" s="2">
        <v>2015</v>
      </c>
      <c r="B26" s="178">
        <f t="shared" si="0"/>
        <v>428.14220477171256</v>
      </c>
      <c r="C26" s="178">
        <f t="shared" si="0"/>
        <v>302.62216699999999</v>
      </c>
      <c r="D26" s="178">
        <f t="shared" si="0"/>
        <v>15.335908928590001</v>
      </c>
      <c r="E26" s="178">
        <f t="shared" ref="E26:E28" si="1">SUM(B26:D26)</f>
        <v>746.10028070030262</v>
      </c>
      <c r="F26" s="2"/>
      <c r="G26" s="2"/>
      <c r="H26" s="2"/>
      <c r="I26" s="2"/>
      <c r="J26" s="2"/>
      <c r="K26" s="2"/>
      <c r="L26" s="2"/>
      <c r="M26" s="2"/>
      <c r="N26" s="2"/>
      <c r="O26" s="2"/>
    </row>
    <row r="27" spans="1:15" x14ac:dyDescent="0.55000000000000004">
      <c r="A27" s="2">
        <v>2016</v>
      </c>
      <c r="B27" s="178">
        <f t="shared" si="0"/>
        <v>343.87975935278638</v>
      </c>
      <c r="C27" s="178">
        <f t="shared" si="0"/>
        <v>336.45116132896806</v>
      </c>
      <c r="D27" s="178">
        <f t="shared" si="0"/>
        <v>15.674793067800005</v>
      </c>
      <c r="E27" s="178">
        <f t="shared" si="1"/>
        <v>696.00571374955439</v>
      </c>
      <c r="F27" s="2"/>
      <c r="G27" s="2"/>
      <c r="H27" s="2"/>
      <c r="I27" s="2"/>
      <c r="J27" s="2"/>
      <c r="K27" s="2"/>
      <c r="L27" s="2"/>
      <c r="M27" s="2"/>
      <c r="N27" s="2"/>
      <c r="O27" s="2"/>
    </row>
    <row r="28" spans="1:15" x14ac:dyDescent="0.55000000000000004">
      <c r="A28" s="2">
        <v>2017</v>
      </c>
      <c r="B28" s="178">
        <f t="shared" si="0"/>
        <v>307.57909999999998</v>
      </c>
      <c r="C28" s="178">
        <f t="shared" si="0"/>
        <v>342.76940100000002</v>
      </c>
      <c r="D28" s="178">
        <f t="shared" si="0"/>
        <v>16.218247999999999</v>
      </c>
      <c r="E28" s="178">
        <f t="shared" si="1"/>
        <v>666.56674899999996</v>
      </c>
      <c r="F28" s="2"/>
      <c r="G28" s="2"/>
      <c r="H28" s="2"/>
      <c r="I28" s="2"/>
      <c r="J28" s="2"/>
      <c r="K28" s="2"/>
      <c r="L28" s="2"/>
      <c r="M28" s="2"/>
      <c r="N28" s="2"/>
      <c r="O28" s="2"/>
    </row>
    <row r="29" spans="1:15" x14ac:dyDescent="0.55000000000000004">
      <c r="A29" s="2">
        <v>2018</v>
      </c>
      <c r="B29" s="178">
        <f t="shared" si="0"/>
        <v>301.54137674841866</v>
      </c>
      <c r="C29" s="178">
        <f t="shared" si="0"/>
        <v>344.07951964127801</v>
      </c>
      <c r="D29" s="178">
        <f t="shared" si="0"/>
        <v>16.639269999</v>
      </c>
      <c r="E29" s="178">
        <f t="shared" ref="E29:E35" si="2">SUM(B29:D29)</f>
        <v>662.26016638869669</v>
      </c>
      <c r="F29" s="2"/>
      <c r="G29" s="2"/>
      <c r="H29" s="2"/>
      <c r="I29" s="2"/>
      <c r="J29" s="2"/>
      <c r="K29" s="2"/>
      <c r="L29" s="2"/>
      <c r="M29" s="2"/>
      <c r="N29" s="2"/>
      <c r="O29" s="2"/>
    </row>
    <row r="30" spans="1:15" x14ac:dyDescent="0.55000000000000004">
      <c r="A30" s="76">
        <v>2019</v>
      </c>
      <c r="B30" s="178">
        <f t="shared" si="0"/>
        <v>280.32054054977982</v>
      </c>
      <c r="C30" s="178">
        <f t="shared" si="0"/>
        <v>352.61474722317746</v>
      </c>
      <c r="D30" s="178">
        <f t="shared" si="0"/>
        <v>16.992206434180002</v>
      </c>
      <c r="E30" s="178">
        <f t="shared" si="2"/>
        <v>649.92749420713733</v>
      </c>
      <c r="F30" s="2"/>
      <c r="G30" s="2"/>
      <c r="H30" s="2"/>
      <c r="I30" s="2"/>
      <c r="J30" s="2"/>
      <c r="K30" s="2"/>
      <c r="L30" s="2"/>
      <c r="M30" s="2"/>
      <c r="N30" s="2"/>
      <c r="O30" s="2"/>
    </row>
    <row r="31" spans="1:15" x14ac:dyDescent="0.55000000000000004">
      <c r="A31" s="2">
        <v>2020</v>
      </c>
      <c r="B31" s="178">
        <f t="shared" ref="B31:D31" si="3">+B41/1000000</f>
        <v>332.22753366999643</v>
      </c>
      <c r="C31" s="178">
        <f t="shared" si="3"/>
        <v>354.84823966031098</v>
      </c>
      <c r="D31" s="178">
        <f t="shared" si="3"/>
        <v>18.666216124790296</v>
      </c>
      <c r="E31" s="178">
        <f t="shared" si="2"/>
        <v>705.74198945509761</v>
      </c>
      <c r="F31" s="2"/>
      <c r="G31" s="2"/>
      <c r="H31" s="2"/>
      <c r="I31" s="2"/>
      <c r="J31" s="2"/>
      <c r="K31" s="2"/>
      <c r="L31" s="2"/>
      <c r="M31" s="2"/>
      <c r="N31" s="2"/>
      <c r="O31" s="2"/>
    </row>
    <row r="32" spans="1:15" x14ac:dyDescent="0.55000000000000004">
      <c r="A32" s="2">
        <v>2011</v>
      </c>
      <c r="B32" s="380">
        <v>374898631</v>
      </c>
      <c r="C32" s="178">
        <v>235386426</v>
      </c>
      <c r="D32" s="178">
        <v>12317156</v>
      </c>
      <c r="E32" s="178">
        <f t="shared" si="2"/>
        <v>622602213</v>
      </c>
      <c r="F32" s="2"/>
      <c r="G32" s="2"/>
      <c r="H32" s="2"/>
      <c r="I32" s="2"/>
      <c r="J32" s="2"/>
      <c r="K32" s="2"/>
      <c r="L32" s="2"/>
      <c r="M32" s="2"/>
      <c r="N32" s="2"/>
      <c r="O32" s="2"/>
    </row>
    <row r="33" spans="1:15" x14ac:dyDescent="0.55000000000000004">
      <c r="A33" s="2">
        <v>2012</v>
      </c>
      <c r="B33" s="380">
        <v>442008884</v>
      </c>
      <c r="C33" s="178">
        <v>272346544</v>
      </c>
      <c r="D33" s="178">
        <v>12259686</v>
      </c>
      <c r="E33" s="178">
        <f t="shared" si="2"/>
        <v>726615114</v>
      </c>
      <c r="F33" s="2"/>
      <c r="G33" s="2"/>
      <c r="H33" s="2"/>
      <c r="I33" s="2"/>
      <c r="J33" s="2"/>
      <c r="K33" s="2"/>
      <c r="L33" s="2"/>
      <c r="M33" s="2"/>
      <c r="N33" s="2"/>
      <c r="O33" s="2"/>
    </row>
    <row r="34" spans="1:15" x14ac:dyDescent="0.55000000000000004">
      <c r="A34" s="2">
        <v>2013</v>
      </c>
      <c r="B34" s="380">
        <v>462590418</v>
      </c>
      <c r="C34" s="178">
        <v>316213911</v>
      </c>
      <c r="D34" s="178">
        <v>13303674</v>
      </c>
      <c r="E34" s="178">
        <f t="shared" si="2"/>
        <v>792108003</v>
      </c>
      <c r="F34" s="2"/>
      <c r="G34" s="2"/>
      <c r="H34" s="2"/>
      <c r="I34" s="2"/>
      <c r="J34" s="2"/>
      <c r="K34" s="2"/>
      <c r="L34" s="2"/>
      <c r="M34" s="2"/>
      <c r="N34" s="2"/>
      <c r="O34" s="2"/>
    </row>
    <row r="35" spans="1:15" x14ac:dyDescent="0.55000000000000004">
      <c r="A35" s="2">
        <v>2014</v>
      </c>
      <c r="B35" s="380">
        <v>463908838</v>
      </c>
      <c r="C35" s="178">
        <v>294407060</v>
      </c>
      <c r="D35" s="178">
        <v>15140921</v>
      </c>
      <c r="E35" s="178">
        <f t="shared" si="2"/>
        <v>773456819</v>
      </c>
      <c r="F35" s="2"/>
      <c r="G35" s="2"/>
      <c r="H35" s="2"/>
      <c r="I35" s="2"/>
      <c r="J35" s="2"/>
      <c r="K35" s="2"/>
      <c r="L35" s="2"/>
      <c r="M35" s="2"/>
      <c r="N35" s="2"/>
      <c r="O35" s="2"/>
    </row>
    <row r="36" spans="1:15" x14ac:dyDescent="0.55000000000000004">
      <c r="A36" s="2">
        <v>2015</v>
      </c>
      <c r="B36" s="380">
        <v>428142204.77171254</v>
      </c>
      <c r="C36" s="178">
        <v>302622167</v>
      </c>
      <c r="D36" s="178">
        <v>15335908.928590002</v>
      </c>
      <c r="E36" s="178">
        <f t="shared" ref="E36:E38" si="4">SUM(B36:D36)</f>
        <v>746100280.7003026</v>
      </c>
      <c r="F36" s="2"/>
      <c r="G36" s="2"/>
      <c r="H36" s="2"/>
      <c r="I36" s="2"/>
      <c r="J36" s="2"/>
      <c r="K36" s="2"/>
      <c r="L36" s="2"/>
      <c r="M36" s="2"/>
      <c r="N36" s="2"/>
      <c r="O36" s="2"/>
    </row>
    <row r="37" spans="1:15" x14ac:dyDescent="0.55000000000000004">
      <c r="A37" s="2">
        <v>2016</v>
      </c>
      <c r="B37" s="380">
        <v>343879759.35278636</v>
      </c>
      <c r="C37" s="178">
        <v>336451161.32896805</v>
      </c>
      <c r="D37" s="178">
        <v>15674793.067800004</v>
      </c>
      <c r="E37" s="178">
        <f t="shared" si="4"/>
        <v>696005713.7495544</v>
      </c>
      <c r="F37" s="2"/>
      <c r="G37" s="2"/>
      <c r="H37" s="2"/>
      <c r="I37" s="2"/>
      <c r="J37" s="2"/>
      <c r="K37" s="2"/>
      <c r="L37" s="2"/>
      <c r="M37" s="2"/>
      <c r="N37" s="2"/>
      <c r="O37" s="2"/>
    </row>
    <row r="38" spans="1:15" x14ac:dyDescent="0.55000000000000004">
      <c r="A38" s="2">
        <v>2017</v>
      </c>
      <c r="B38" s="613">
        <v>307579100</v>
      </c>
      <c r="C38" s="259">
        <v>342769401</v>
      </c>
      <c r="D38" s="259">
        <v>16218248</v>
      </c>
      <c r="E38" s="178">
        <f t="shared" si="4"/>
        <v>666566749</v>
      </c>
      <c r="F38" s="2"/>
      <c r="G38" s="2"/>
      <c r="H38" s="2"/>
      <c r="I38" s="2"/>
      <c r="J38" s="2"/>
      <c r="K38" s="2"/>
      <c r="L38" s="2"/>
      <c r="M38" s="2"/>
      <c r="N38" s="2"/>
      <c r="O38" s="2"/>
    </row>
    <row r="39" spans="1:15" x14ac:dyDescent="0.55000000000000004">
      <c r="A39" s="2">
        <v>2018</v>
      </c>
      <c r="B39" s="613">
        <v>301541376.74841863</v>
      </c>
      <c r="C39" s="259">
        <v>344079519.64127803</v>
      </c>
      <c r="D39" s="259">
        <v>16639269.999</v>
      </c>
      <c r="E39" s="178">
        <v>662260166.38869655</v>
      </c>
      <c r="F39" s="2"/>
      <c r="G39" s="2"/>
      <c r="H39" s="2"/>
      <c r="I39" s="2"/>
      <c r="J39" s="2"/>
      <c r="K39" s="2"/>
      <c r="L39" s="2"/>
      <c r="M39" s="2"/>
      <c r="N39" s="2"/>
      <c r="O39" s="2"/>
    </row>
    <row r="40" spans="1:15" x14ac:dyDescent="0.55000000000000004">
      <c r="A40" s="76">
        <v>2019</v>
      </c>
      <c r="B40" s="608">
        <v>280320540.54977983</v>
      </c>
      <c r="C40" s="607">
        <v>352614747.22317743</v>
      </c>
      <c r="D40" s="607">
        <v>16992206.434180003</v>
      </c>
      <c r="E40" s="614">
        <v>649927494.20713735</v>
      </c>
      <c r="F40" s="2"/>
      <c r="G40" s="2"/>
      <c r="H40" s="2"/>
      <c r="I40" s="2"/>
      <c r="J40" s="2"/>
      <c r="K40" s="2"/>
      <c r="L40" s="2"/>
      <c r="M40" s="2"/>
      <c r="N40" s="2"/>
      <c r="O40" s="2"/>
    </row>
    <row r="41" spans="1:15" x14ac:dyDescent="0.55000000000000004">
      <c r="A41" s="2">
        <v>2020</v>
      </c>
      <c r="B41" s="380">
        <f>'Rate Support-Attachment I'!E53</f>
        <v>332227533.66999644</v>
      </c>
      <c r="C41" s="178">
        <f>'Rate Support-Attachment I'!C53</f>
        <v>354848239.66031098</v>
      </c>
      <c r="D41" s="178">
        <f>'Rate Support-Attachment I'!D53</f>
        <v>18666216.124790296</v>
      </c>
      <c r="E41" s="178">
        <f>SUM(B41:D41)</f>
        <v>705741989.45509779</v>
      </c>
      <c r="F41" s="2"/>
      <c r="G41" s="2"/>
      <c r="H41" s="2"/>
      <c r="I41" s="2"/>
      <c r="J41" s="2"/>
      <c r="K41" s="2"/>
      <c r="L41" s="2"/>
      <c r="M41" s="2"/>
      <c r="N41" s="2"/>
      <c r="O41" s="2"/>
    </row>
    <row r="42" spans="1:15" x14ac:dyDescent="0.55000000000000004">
      <c r="A42" s="2"/>
      <c r="B42" s="2"/>
      <c r="C42" s="2"/>
      <c r="D42" s="2"/>
      <c r="E42" s="2"/>
      <c r="F42" s="2"/>
      <c r="G42" s="2"/>
      <c r="H42" s="2"/>
      <c r="I42" s="2"/>
      <c r="J42" s="2"/>
      <c r="K42" s="2"/>
      <c r="L42" s="2"/>
      <c r="M42" s="2"/>
      <c r="N42" s="2"/>
      <c r="O42" s="2"/>
    </row>
    <row r="43" spans="1:15" x14ac:dyDescent="0.55000000000000004">
      <c r="A43" s="605" t="s">
        <v>853</v>
      </c>
      <c r="B43" s="2"/>
      <c r="C43" s="2"/>
      <c r="D43" s="2"/>
      <c r="E43" s="2"/>
      <c r="F43" s="2"/>
      <c r="G43" s="2"/>
      <c r="H43" s="2"/>
      <c r="I43" s="2"/>
      <c r="J43" s="2"/>
      <c r="K43" s="2"/>
      <c r="L43" s="2"/>
      <c r="M43" s="2"/>
      <c r="N43" s="2"/>
      <c r="O43" s="2"/>
    </row>
    <row r="44" spans="1:15" ht="28.8" x14ac:dyDescent="0.55000000000000004">
      <c r="A44" s="179" t="s">
        <v>210</v>
      </c>
      <c r="B44" s="180" t="s">
        <v>215</v>
      </c>
      <c r="C44" s="180" t="s">
        <v>214</v>
      </c>
      <c r="D44" s="2"/>
      <c r="E44" s="2"/>
      <c r="F44" s="2"/>
      <c r="G44" s="2"/>
      <c r="H44" s="2"/>
      <c r="I44" s="2"/>
      <c r="J44" s="2"/>
      <c r="K44" s="2"/>
      <c r="L44" s="2"/>
      <c r="M44" s="2"/>
      <c r="N44" s="2"/>
      <c r="O44" s="2"/>
    </row>
    <row r="45" spans="1:15" x14ac:dyDescent="0.55000000000000004">
      <c r="A45" s="2">
        <v>2011</v>
      </c>
      <c r="B45" s="178">
        <f t="shared" ref="B45:C53" si="5">+C57</f>
        <v>1203.0176928095927</v>
      </c>
      <c r="C45" s="178">
        <f t="shared" si="5"/>
        <v>580.41547980959274</v>
      </c>
      <c r="D45" s="173"/>
      <c r="E45" s="2"/>
      <c r="F45" s="2"/>
      <c r="G45" s="2"/>
      <c r="H45" s="2"/>
      <c r="I45" s="2"/>
      <c r="J45" s="2"/>
      <c r="K45" s="2"/>
      <c r="L45" s="2"/>
      <c r="M45" s="2"/>
      <c r="N45" s="2"/>
      <c r="O45" s="2"/>
    </row>
    <row r="46" spans="1:15" x14ac:dyDescent="0.55000000000000004">
      <c r="A46" s="2">
        <v>2012</v>
      </c>
      <c r="B46" s="178">
        <f t="shared" si="5"/>
        <v>1378.3019303951344</v>
      </c>
      <c r="C46" s="178">
        <f t="shared" si="5"/>
        <v>651.68681639513431</v>
      </c>
      <c r="D46" s="2"/>
      <c r="E46" s="2"/>
      <c r="F46" s="2"/>
      <c r="G46" s="2"/>
      <c r="H46" s="2"/>
      <c r="I46" s="2"/>
      <c r="J46" s="2"/>
      <c r="K46" s="2"/>
      <c r="L46" s="2"/>
      <c r="M46" s="2"/>
      <c r="N46" s="2"/>
      <c r="O46" s="2"/>
    </row>
    <row r="47" spans="1:15" x14ac:dyDescent="0.55000000000000004">
      <c r="A47" s="2">
        <v>2013</v>
      </c>
      <c r="B47" s="178">
        <f t="shared" si="5"/>
        <v>1505.554321846221</v>
      </c>
      <c r="C47" s="178">
        <f t="shared" si="5"/>
        <v>713.44631884622095</v>
      </c>
      <c r="D47" s="2"/>
      <c r="E47" s="2"/>
      <c r="F47" s="2"/>
      <c r="G47" s="2"/>
      <c r="H47" s="2"/>
      <c r="I47" s="2"/>
      <c r="J47" s="2"/>
      <c r="K47" s="2"/>
      <c r="L47" s="2"/>
      <c r="M47" s="2"/>
      <c r="N47" s="2"/>
      <c r="O47" s="2"/>
    </row>
    <row r="48" spans="1:15" x14ac:dyDescent="0.55000000000000004">
      <c r="A48" s="2">
        <v>2014</v>
      </c>
      <c r="B48" s="178">
        <f t="shared" si="5"/>
        <v>1498.125311</v>
      </c>
      <c r="C48" s="178">
        <f t="shared" si="5"/>
        <v>724.6684919999999</v>
      </c>
      <c r="D48" s="2"/>
      <c r="E48" s="2"/>
      <c r="F48" s="2"/>
      <c r="G48" s="2"/>
      <c r="H48" s="2"/>
      <c r="I48" s="2"/>
      <c r="J48" s="2"/>
      <c r="K48" s="2"/>
      <c r="L48" s="2"/>
      <c r="M48" s="2"/>
      <c r="N48" s="2"/>
      <c r="O48" s="2"/>
    </row>
    <row r="49" spans="1:15" x14ac:dyDescent="0.55000000000000004">
      <c r="A49" s="2">
        <v>2015</v>
      </c>
      <c r="B49" s="178">
        <f t="shared" si="5"/>
        <v>1477.3026560000001</v>
      </c>
      <c r="C49" s="178">
        <f t="shared" si="5"/>
        <v>731.20237529969745</v>
      </c>
      <c r="D49" s="2"/>
      <c r="E49" s="2"/>
      <c r="F49" s="2"/>
      <c r="G49" s="2"/>
      <c r="H49" s="2"/>
      <c r="I49" s="2"/>
      <c r="J49" s="2"/>
      <c r="K49" s="2"/>
      <c r="L49" s="2"/>
      <c r="M49" s="2"/>
      <c r="N49" s="2"/>
      <c r="O49" s="2"/>
    </row>
    <row r="50" spans="1:15" x14ac:dyDescent="0.55000000000000004">
      <c r="A50" s="2">
        <v>2016</v>
      </c>
      <c r="B50" s="178">
        <f t="shared" si="5"/>
        <v>1523.6728668289177</v>
      </c>
      <c r="C50" s="178">
        <f t="shared" si="5"/>
        <v>827.66715307936329</v>
      </c>
      <c r="D50" s="2"/>
      <c r="E50" s="2"/>
      <c r="F50" s="2"/>
      <c r="G50" s="2"/>
      <c r="H50" s="2"/>
      <c r="I50" s="2"/>
      <c r="J50" s="2"/>
      <c r="K50" s="2"/>
      <c r="L50" s="2"/>
      <c r="M50" s="2"/>
      <c r="N50" s="2"/>
      <c r="O50" s="2"/>
    </row>
    <row r="51" spans="1:15" x14ac:dyDescent="0.55000000000000004">
      <c r="A51" s="2">
        <v>2017</v>
      </c>
      <c r="B51" s="178">
        <f t="shared" si="5"/>
        <v>1562.5152129999999</v>
      </c>
      <c r="C51" s="178">
        <f t="shared" si="5"/>
        <v>895.94846399999994</v>
      </c>
      <c r="D51" s="2"/>
      <c r="E51" s="2"/>
      <c r="F51" s="2"/>
      <c r="G51" s="2"/>
      <c r="H51" s="2"/>
      <c r="I51" s="2"/>
      <c r="J51" s="2"/>
      <c r="K51" s="2"/>
      <c r="L51" s="2"/>
      <c r="M51" s="2"/>
      <c r="N51" s="2"/>
      <c r="O51" s="2"/>
    </row>
    <row r="52" spans="1:15" x14ac:dyDescent="0.55000000000000004">
      <c r="A52" s="2">
        <v>2018</v>
      </c>
      <c r="B52" s="178">
        <f t="shared" si="5"/>
        <v>1748.4416889699364</v>
      </c>
      <c r="C52" s="178">
        <f t="shared" si="5"/>
        <v>1086.1815225812397</v>
      </c>
      <c r="D52" s="2"/>
      <c r="E52" s="2"/>
      <c r="F52" s="2"/>
      <c r="G52" s="2"/>
      <c r="H52" s="2"/>
      <c r="I52" s="2"/>
      <c r="J52" s="2"/>
      <c r="K52" s="2"/>
      <c r="L52" s="2"/>
      <c r="M52" s="2"/>
      <c r="N52" s="2"/>
      <c r="O52" s="2"/>
    </row>
    <row r="53" spans="1:15" x14ac:dyDescent="0.55000000000000004">
      <c r="A53" s="76">
        <v>2019</v>
      </c>
      <c r="B53" s="178">
        <f t="shared" si="5"/>
        <v>1885.9526062099812</v>
      </c>
      <c r="C53" s="178">
        <f t="shared" si="5"/>
        <v>1236.0251120028438</v>
      </c>
      <c r="D53" s="2"/>
      <c r="E53" s="2"/>
      <c r="F53" s="2"/>
      <c r="G53" s="2"/>
      <c r="H53" s="2"/>
      <c r="I53" s="2"/>
      <c r="J53" s="2"/>
      <c r="K53" s="2"/>
      <c r="L53" s="2"/>
      <c r="M53" s="2"/>
      <c r="N53" s="2"/>
      <c r="O53" s="2"/>
    </row>
    <row r="54" spans="1:15" x14ac:dyDescent="0.55000000000000004">
      <c r="A54" s="2">
        <v>2020</v>
      </c>
      <c r="B54" s="178">
        <f t="shared" ref="B54:C54" si="6">+C66</f>
        <v>1942.5955654023769</v>
      </c>
      <c r="C54" s="178">
        <f t="shared" si="6"/>
        <v>1236.8535759472793</v>
      </c>
      <c r="D54" s="2"/>
      <c r="E54" s="2"/>
      <c r="F54" s="2"/>
      <c r="G54" s="2"/>
      <c r="H54" s="2"/>
      <c r="I54" s="2"/>
      <c r="J54" s="2"/>
      <c r="K54" s="2"/>
      <c r="L54" s="2"/>
      <c r="M54" s="2"/>
      <c r="N54" s="2"/>
      <c r="O54" s="2"/>
    </row>
    <row r="55" spans="1:15" x14ac:dyDescent="0.55000000000000004">
      <c r="A55" s="2"/>
      <c r="B55" s="2"/>
      <c r="C55" s="2"/>
      <c r="D55" s="2"/>
      <c r="E55" s="2"/>
      <c r="F55" s="2"/>
      <c r="G55" s="2"/>
      <c r="H55" s="2"/>
      <c r="I55" s="2"/>
      <c r="J55" s="2"/>
      <c r="K55" s="2"/>
      <c r="L55" s="2"/>
      <c r="M55" s="2"/>
      <c r="N55" s="2"/>
      <c r="O55" s="2"/>
    </row>
    <row r="56" spans="1:15" ht="28.8" x14ac:dyDescent="0.55000000000000004">
      <c r="A56" s="179" t="s">
        <v>210</v>
      </c>
      <c r="B56" s="180" t="s">
        <v>213</v>
      </c>
      <c r="C56" s="180" t="s">
        <v>211</v>
      </c>
      <c r="D56" s="181" t="s">
        <v>384</v>
      </c>
      <c r="E56" s="2"/>
      <c r="F56" s="2"/>
      <c r="G56" s="2"/>
      <c r="H56" s="2"/>
      <c r="I56" s="2"/>
      <c r="J56" s="2"/>
      <c r="K56" s="2"/>
      <c r="L56" s="2"/>
      <c r="M56" s="2"/>
      <c r="N56" s="2"/>
      <c r="O56" s="2"/>
    </row>
    <row r="57" spans="1:15" x14ac:dyDescent="0.55000000000000004">
      <c r="A57" s="2">
        <v>2011</v>
      </c>
      <c r="B57" s="178">
        <f t="shared" ref="B57:C66" si="7">+B81/1000000</f>
        <v>13039.588671793743</v>
      </c>
      <c r="C57" s="178">
        <f t="shared" si="7"/>
        <v>1203.0176928095927</v>
      </c>
      <c r="D57" s="178">
        <f t="shared" ref="D57:D65" si="8">+C57-E22</f>
        <v>580.41547980959274</v>
      </c>
      <c r="E57" s="182"/>
      <c r="F57" s="2"/>
      <c r="G57" s="2"/>
      <c r="H57" s="2"/>
      <c r="I57" s="2"/>
      <c r="J57" s="2"/>
      <c r="K57" s="2"/>
      <c r="L57" s="2"/>
      <c r="M57" s="2"/>
      <c r="N57" s="2"/>
      <c r="O57" s="2"/>
    </row>
    <row r="58" spans="1:15" x14ac:dyDescent="0.55000000000000004">
      <c r="A58" s="2">
        <v>2012</v>
      </c>
      <c r="B58" s="178">
        <f t="shared" si="7"/>
        <v>13532.154004168002</v>
      </c>
      <c r="C58" s="178">
        <f t="shared" si="7"/>
        <v>1378.3019303951344</v>
      </c>
      <c r="D58" s="178">
        <f t="shared" si="8"/>
        <v>651.68681639513431</v>
      </c>
      <c r="E58" s="182"/>
      <c r="F58" s="2"/>
      <c r="G58" s="2"/>
      <c r="H58" s="2"/>
      <c r="I58" s="2"/>
      <c r="J58" s="2"/>
      <c r="K58" s="2"/>
      <c r="L58" s="2"/>
      <c r="M58" s="2"/>
      <c r="N58" s="2"/>
      <c r="O58" s="2"/>
    </row>
    <row r="59" spans="1:15" x14ac:dyDescent="0.55000000000000004">
      <c r="A59" s="2">
        <v>2013</v>
      </c>
      <c r="B59" s="178">
        <f t="shared" si="7"/>
        <v>13625.073340212002</v>
      </c>
      <c r="C59" s="178">
        <f t="shared" si="7"/>
        <v>1505.554321846221</v>
      </c>
      <c r="D59" s="178">
        <f t="shared" si="8"/>
        <v>713.44631884622095</v>
      </c>
      <c r="E59" s="182"/>
      <c r="F59" s="2"/>
      <c r="G59" s="2"/>
      <c r="H59" s="2"/>
      <c r="I59" s="2"/>
      <c r="J59" s="2"/>
      <c r="K59" s="2"/>
      <c r="L59" s="2"/>
      <c r="M59" s="2"/>
      <c r="N59" s="2"/>
      <c r="O59" s="2"/>
    </row>
    <row r="60" spans="1:15" x14ac:dyDescent="0.55000000000000004">
      <c r="A60" s="2">
        <v>2014</v>
      </c>
      <c r="B60" s="178">
        <f t="shared" si="7"/>
        <v>14105.52369</v>
      </c>
      <c r="C60" s="178">
        <f t="shared" si="7"/>
        <v>1498.125311</v>
      </c>
      <c r="D60" s="178">
        <f t="shared" si="8"/>
        <v>724.6684919999999</v>
      </c>
      <c r="E60" s="182"/>
      <c r="F60" s="2"/>
      <c r="G60" s="2"/>
      <c r="H60" s="2"/>
      <c r="I60" s="2"/>
      <c r="J60" s="2"/>
      <c r="K60" s="2"/>
      <c r="L60" s="2"/>
      <c r="M60" s="2"/>
      <c r="N60" s="2"/>
      <c r="O60" s="2"/>
    </row>
    <row r="61" spans="1:15" x14ac:dyDescent="0.55000000000000004">
      <c r="A61" s="2">
        <v>2015</v>
      </c>
      <c r="B61" s="178">
        <f t="shared" si="7"/>
        <v>14693.452601719999</v>
      </c>
      <c r="C61" s="178">
        <f t="shared" si="7"/>
        <v>1477.3026560000001</v>
      </c>
      <c r="D61" s="178">
        <f t="shared" si="8"/>
        <v>731.20237529969745</v>
      </c>
      <c r="E61" s="182"/>
      <c r="F61" s="182"/>
      <c r="G61" s="2"/>
      <c r="H61" s="2"/>
      <c r="I61" s="2"/>
      <c r="J61" s="2"/>
      <c r="K61" s="2"/>
      <c r="L61" s="2"/>
      <c r="M61" s="2"/>
      <c r="N61" s="2"/>
      <c r="O61" s="2"/>
    </row>
    <row r="62" spans="1:15" x14ac:dyDescent="0.55000000000000004">
      <c r="A62" s="2">
        <v>2016</v>
      </c>
      <c r="B62" s="178">
        <f t="shared" si="7"/>
        <v>16329.405720936335</v>
      </c>
      <c r="C62" s="178">
        <f t="shared" si="7"/>
        <v>1523.6728668289177</v>
      </c>
      <c r="D62" s="178">
        <f t="shared" si="8"/>
        <v>827.66715307936329</v>
      </c>
      <c r="E62" s="182"/>
      <c r="F62" s="2"/>
      <c r="G62" s="2"/>
      <c r="H62" s="2"/>
      <c r="I62" s="2"/>
      <c r="J62" s="2"/>
      <c r="K62" s="2"/>
      <c r="L62" s="2"/>
      <c r="M62" s="2"/>
      <c r="N62" s="2"/>
      <c r="O62" s="2"/>
    </row>
    <row r="63" spans="1:15" x14ac:dyDescent="0.55000000000000004">
      <c r="A63" s="2">
        <v>2017</v>
      </c>
      <c r="B63" s="178">
        <f t="shared" si="7"/>
        <v>15834.40826</v>
      </c>
      <c r="C63" s="178">
        <f t="shared" si="7"/>
        <v>1562.5152129999999</v>
      </c>
      <c r="D63" s="178">
        <f t="shared" si="8"/>
        <v>895.94846399999994</v>
      </c>
      <c r="E63" s="182"/>
      <c r="F63" s="2"/>
      <c r="G63" s="2"/>
      <c r="H63" s="2"/>
      <c r="I63" s="2"/>
      <c r="J63" s="2"/>
      <c r="K63" s="2"/>
      <c r="L63" s="2"/>
      <c r="M63" s="2"/>
      <c r="N63" s="2"/>
      <c r="O63" s="2"/>
    </row>
    <row r="64" spans="1:15" x14ac:dyDescent="0.55000000000000004">
      <c r="A64" s="2">
        <v>2018</v>
      </c>
      <c r="B64" s="178">
        <f t="shared" si="7"/>
        <v>16143.540167628906</v>
      </c>
      <c r="C64" s="178">
        <f t="shared" si="7"/>
        <v>1748.4416889699364</v>
      </c>
      <c r="D64" s="178">
        <f t="shared" si="8"/>
        <v>1086.1815225812397</v>
      </c>
      <c r="E64" s="182"/>
      <c r="F64" s="2"/>
      <c r="G64" s="2"/>
      <c r="H64" s="2"/>
      <c r="I64" s="2"/>
      <c r="J64" s="2"/>
      <c r="K64" s="2"/>
      <c r="L64" s="2"/>
      <c r="M64" s="2"/>
      <c r="N64" s="2"/>
      <c r="O64" s="2"/>
    </row>
    <row r="65" spans="1:15" x14ac:dyDescent="0.55000000000000004">
      <c r="A65" s="76">
        <v>2019</v>
      </c>
      <c r="B65" s="178">
        <f t="shared" si="7"/>
        <v>16778.744994412515</v>
      </c>
      <c r="C65" s="178">
        <f t="shared" si="7"/>
        <v>1885.9526062099812</v>
      </c>
      <c r="D65" s="178">
        <f t="shared" si="8"/>
        <v>1236.0251120028438</v>
      </c>
      <c r="E65" s="182"/>
      <c r="F65" s="2"/>
      <c r="G65" s="2"/>
      <c r="H65" s="2"/>
      <c r="I65" s="2"/>
      <c r="J65" s="2"/>
      <c r="K65" s="2"/>
      <c r="L65" s="2"/>
      <c r="M65" s="2"/>
      <c r="N65" s="2"/>
      <c r="O65" s="2"/>
    </row>
    <row r="66" spans="1:15" x14ac:dyDescent="0.55000000000000004">
      <c r="A66" s="2">
        <v>2020</v>
      </c>
      <c r="B66" s="178">
        <f t="shared" si="7"/>
        <v>17148.098364310001</v>
      </c>
      <c r="C66" s="178">
        <f t="shared" si="7"/>
        <v>1942.5955654023769</v>
      </c>
      <c r="D66" s="178">
        <f t="shared" ref="D66" si="9">+C66-E31</f>
        <v>1236.8535759472793</v>
      </c>
      <c r="E66" s="182"/>
      <c r="F66" s="2"/>
      <c r="G66" s="2"/>
      <c r="H66" s="2"/>
      <c r="I66" s="2"/>
      <c r="J66" s="2"/>
      <c r="K66" s="2"/>
      <c r="L66" s="2"/>
      <c r="M66" s="2"/>
      <c r="N66" s="2"/>
      <c r="O66" s="2"/>
    </row>
    <row r="67" spans="1:15" x14ac:dyDescent="0.55000000000000004">
      <c r="A67" s="2"/>
      <c r="B67" s="2"/>
      <c r="C67" s="2"/>
      <c r="D67" s="2"/>
      <c r="E67" s="2"/>
      <c r="F67" s="2"/>
      <c r="G67" s="2"/>
      <c r="H67" s="2"/>
      <c r="I67" s="2"/>
      <c r="J67" s="2"/>
      <c r="K67" s="2"/>
      <c r="L67" s="2"/>
      <c r="M67" s="2"/>
      <c r="N67" s="2"/>
      <c r="O67" s="2"/>
    </row>
    <row r="68" spans="1:15" ht="43.2" x14ac:dyDescent="0.55000000000000004">
      <c r="A68" s="179" t="s">
        <v>210</v>
      </c>
      <c r="B68" s="180" t="s">
        <v>209</v>
      </c>
      <c r="C68" s="191" t="s">
        <v>452</v>
      </c>
      <c r="D68" s="2"/>
      <c r="E68" s="2"/>
      <c r="F68" s="2"/>
      <c r="G68" s="2"/>
      <c r="H68" s="2"/>
      <c r="I68" s="2"/>
      <c r="J68" s="2"/>
      <c r="K68" s="2"/>
      <c r="L68" s="2"/>
      <c r="M68" s="2"/>
      <c r="N68" s="2"/>
      <c r="O68" s="2"/>
    </row>
    <row r="69" spans="1:15" x14ac:dyDescent="0.55000000000000004">
      <c r="A69" s="2">
        <v>2011</v>
      </c>
      <c r="B69" s="182">
        <f t="shared" ref="B69:B77" si="10">+C57/B57</f>
        <v>9.2258868211991238E-2</v>
      </c>
      <c r="C69" s="183">
        <f t="shared" ref="C69:C77" si="11">D57/B57</f>
        <v>4.4511793617010624E-2</v>
      </c>
      <c r="D69" s="2"/>
      <c r="E69" s="2"/>
      <c r="F69" s="2"/>
      <c r="G69" s="2"/>
      <c r="H69" s="2"/>
      <c r="I69" s="2"/>
      <c r="J69" s="2"/>
      <c r="K69" s="2"/>
      <c r="L69" s="2"/>
      <c r="M69" s="2"/>
      <c r="N69" s="2"/>
      <c r="O69" s="2"/>
    </row>
    <row r="70" spans="1:15" x14ac:dyDescent="0.55000000000000004">
      <c r="A70" s="2">
        <v>2012</v>
      </c>
      <c r="B70" s="182">
        <f t="shared" si="10"/>
        <v>0.10185384603002651</v>
      </c>
      <c r="C70" s="183">
        <f t="shared" si="11"/>
        <v>4.8158394901093353E-2</v>
      </c>
      <c r="D70" s="2"/>
      <c r="E70" s="2"/>
      <c r="F70" s="2"/>
      <c r="G70" s="2"/>
      <c r="H70" s="2"/>
      <c r="I70" s="2"/>
      <c r="J70" s="2"/>
      <c r="K70" s="2"/>
      <c r="L70" s="2"/>
      <c r="M70" s="2"/>
      <c r="N70" s="2"/>
      <c r="O70" s="2"/>
    </row>
    <row r="71" spans="1:15" x14ac:dyDescent="0.55000000000000004">
      <c r="A71" s="2">
        <v>2013</v>
      </c>
      <c r="B71" s="182">
        <f t="shared" si="10"/>
        <v>0.1104988049791147</v>
      </c>
      <c r="C71" s="183">
        <f t="shared" si="11"/>
        <v>5.2362750719338144E-2</v>
      </c>
      <c r="D71" s="2"/>
      <c r="E71" s="2"/>
      <c r="F71" s="2"/>
      <c r="G71" s="2"/>
      <c r="H71" s="2"/>
      <c r="I71" s="2"/>
      <c r="J71" s="2"/>
      <c r="K71" s="2"/>
      <c r="L71" s="2"/>
      <c r="M71" s="2"/>
      <c r="N71" s="2"/>
      <c r="O71" s="2"/>
    </row>
    <row r="72" spans="1:15" x14ac:dyDescent="0.55000000000000004">
      <c r="A72" s="2">
        <v>2014</v>
      </c>
      <c r="B72" s="182">
        <f t="shared" si="10"/>
        <v>0.10620841479725308</v>
      </c>
      <c r="C72" s="183">
        <f t="shared" si="11"/>
        <v>5.1374802377152994E-2</v>
      </c>
      <c r="D72" s="2"/>
      <c r="E72" s="2"/>
      <c r="F72" s="2"/>
      <c r="G72" s="2"/>
      <c r="H72" s="2"/>
      <c r="I72" s="2"/>
      <c r="J72" s="2"/>
      <c r="K72" s="2"/>
      <c r="L72" s="2"/>
      <c r="M72" s="2"/>
      <c r="N72" s="2"/>
      <c r="O72" s="2"/>
    </row>
    <row r="73" spans="1:15" x14ac:dyDescent="0.55000000000000004">
      <c r="A73" s="2">
        <v>2015</v>
      </c>
      <c r="B73" s="182">
        <f t="shared" si="10"/>
        <v>0.10054156065587122</v>
      </c>
      <c r="C73" s="183">
        <f t="shared" si="11"/>
        <v>4.9763823052323575E-2</v>
      </c>
      <c r="D73" s="2"/>
      <c r="E73" s="2"/>
      <c r="F73" s="2"/>
      <c r="G73" s="2"/>
      <c r="H73" s="2"/>
      <c r="I73" s="2"/>
      <c r="J73" s="2"/>
      <c r="K73" s="2"/>
      <c r="L73" s="2"/>
      <c r="M73" s="2"/>
      <c r="N73" s="2"/>
      <c r="O73" s="2"/>
    </row>
    <row r="74" spans="1:15" x14ac:dyDescent="0.55000000000000004">
      <c r="A74" s="2">
        <v>2016</v>
      </c>
      <c r="B74" s="182">
        <f t="shared" si="10"/>
        <v>9.3308531422878357E-2</v>
      </c>
      <c r="C74" s="183">
        <f t="shared" si="11"/>
        <v>5.0685687355920786E-2</v>
      </c>
      <c r="D74" s="2"/>
      <c r="E74" s="2"/>
      <c r="F74" s="2"/>
      <c r="G74" s="2"/>
      <c r="H74" s="2"/>
      <c r="I74" s="2"/>
      <c r="J74" s="2"/>
      <c r="K74" s="2"/>
      <c r="L74" s="2"/>
      <c r="M74" s="2"/>
      <c r="N74" s="2"/>
      <c r="O74" s="2"/>
    </row>
    <row r="75" spans="1:15" x14ac:dyDescent="0.55000000000000004">
      <c r="A75" s="2">
        <v>2017</v>
      </c>
      <c r="B75" s="182">
        <f t="shared" si="10"/>
        <v>9.8678472055513361E-2</v>
      </c>
      <c r="C75" s="183">
        <f t="shared" si="11"/>
        <v>5.6582377395389953E-2</v>
      </c>
      <c r="D75" s="2"/>
      <c r="E75" s="2"/>
      <c r="F75" s="2"/>
      <c r="G75" s="2"/>
      <c r="H75" s="2"/>
      <c r="I75" s="2"/>
      <c r="J75" s="2"/>
      <c r="K75" s="2"/>
      <c r="L75" s="2"/>
      <c r="M75" s="2"/>
      <c r="N75" s="2"/>
      <c r="O75" s="2"/>
    </row>
    <row r="76" spans="1:15" x14ac:dyDescent="0.55000000000000004">
      <c r="A76" s="2">
        <v>2018</v>
      </c>
      <c r="B76" s="182">
        <f t="shared" si="10"/>
        <v>0.1083059645415272</v>
      </c>
      <c r="C76" s="183">
        <f t="shared" si="11"/>
        <v>6.7282734226985441E-2</v>
      </c>
      <c r="D76" s="2"/>
      <c r="E76" s="2"/>
      <c r="F76" s="2"/>
      <c r="G76" s="2"/>
      <c r="H76" s="2"/>
      <c r="I76" s="2"/>
      <c r="J76" s="2"/>
      <c r="K76" s="2"/>
      <c r="L76" s="2"/>
      <c r="M76" s="2"/>
      <c r="N76" s="2"/>
      <c r="O76" s="2"/>
    </row>
    <row r="77" spans="1:15" x14ac:dyDescent="0.55000000000000004">
      <c r="A77" s="76">
        <v>2019</v>
      </c>
      <c r="B77" s="182">
        <f t="shared" si="10"/>
        <v>0.11240129144569644</v>
      </c>
      <c r="C77" s="183">
        <f t="shared" si="11"/>
        <v>7.3666124159730187E-2</v>
      </c>
      <c r="D77" s="2"/>
      <c r="E77" s="2"/>
      <c r="F77" s="2"/>
      <c r="G77" s="2"/>
      <c r="H77" s="2"/>
      <c r="I77" s="2"/>
      <c r="J77" s="2"/>
      <c r="K77" s="2"/>
      <c r="L77" s="2"/>
      <c r="M77" s="2"/>
      <c r="N77" s="2"/>
      <c r="O77" s="2"/>
    </row>
    <row r="78" spans="1:15" x14ac:dyDescent="0.55000000000000004">
      <c r="A78" s="2">
        <v>2020</v>
      </c>
      <c r="B78" s="182">
        <f t="shared" ref="B78" si="12">+C66/B66</f>
        <v>0.11328343960549368</v>
      </c>
      <c r="C78" s="183">
        <f t="shared" ref="C78" si="13">D66/B66</f>
        <v>7.2127739745272174E-2</v>
      </c>
      <c r="D78" s="2"/>
      <c r="E78" s="2"/>
      <c r="F78" s="2"/>
      <c r="G78" s="2"/>
      <c r="H78" s="2"/>
      <c r="I78" s="2"/>
      <c r="J78" s="2"/>
      <c r="K78" s="2"/>
      <c r="L78" s="2"/>
      <c r="M78" s="2"/>
      <c r="N78" s="2"/>
      <c r="O78" s="2"/>
    </row>
    <row r="79" spans="1:15" x14ac:dyDescent="0.55000000000000004">
      <c r="A79" s="2"/>
      <c r="B79" s="2"/>
      <c r="C79" s="2"/>
      <c r="D79" s="2"/>
      <c r="E79" s="2"/>
      <c r="F79" s="2"/>
      <c r="G79" s="2"/>
      <c r="H79" s="2"/>
      <c r="I79" s="2"/>
      <c r="J79" s="2"/>
      <c r="K79" s="2"/>
      <c r="L79" s="2"/>
      <c r="M79" s="2"/>
      <c r="N79" s="2"/>
      <c r="O79" s="2"/>
    </row>
    <row r="80" spans="1:15" ht="28.8" x14ac:dyDescent="0.55000000000000004">
      <c r="A80" s="184" t="s">
        <v>210</v>
      </c>
      <c r="B80" s="185" t="s">
        <v>382</v>
      </c>
      <c r="C80" s="211" t="s">
        <v>498</v>
      </c>
      <c r="D80" s="2"/>
      <c r="E80" s="2"/>
      <c r="F80" s="2"/>
      <c r="G80" s="2"/>
      <c r="H80" s="2"/>
      <c r="I80" s="2"/>
      <c r="J80" s="2"/>
      <c r="K80" s="2"/>
      <c r="L80" s="2"/>
      <c r="M80" s="2"/>
      <c r="N80" s="2"/>
      <c r="O80" s="2"/>
    </row>
    <row r="81" spans="1:15" x14ac:dyDescent="0.55000000000000004">
      <c r="A81" s="2">
        <v>2011</v>
      </c>
      <c r="B81" s="611">
        <v>13039588671.793743</v>
      </c>
      <c r="C81" s="611">
        <v>1203017692.8095927</v>
      </c>
      <c r="D81" s="2"/>
      <c r="E81" s="2"/>
      <c r="F81" s="2"/>
      <c r="G81" s="2"/>
      <c r="H81" s="2"/>
      <c r="I81" s="2"/>
      <c r="J81" s="2"/>
      <c r="K81" s="2"/>
      <c r="L81" s="2"/>
      <c r="M81" s="2"/>
      <c r="N81" s="2"/>
      <c r="O81" s="2"/>
    </row>
    <row r="82" spans="1:15" x14ac:dyDescent="0.55000000000000004">
      <c r="A82" s="2">
        <v>2012</v>
      </c>
      <c r="B82" s="611">
        <v>13532154004.168001</v>
      </c>
      <c r="C82" s="611">
        <v>1378301930.3951344</v>
      </c>
      <c r="D82" s="2"/>
      <c r="E82" s="2"/>
      <c r="F82" s="2"/>
      <c r="G82" s="2"/>
      <c r="H82" s="2"/>
      <c r="I82" s="2"/>
      <c r="J82" s="2"/>
      <c r="K82" s="2"/>
      <c r="L82" s="2"/>
      <c r="M82" s="2"/>
      <c r="N82" s="2"/>
      <c r="O82" s="2"/>
    </row>
    <row r="83" spans="1:15" x14ac:dyDescent="0.55000000000000004">
      <c r="A83" s="2">
        <v>2013</v>
      </c>
      <c r="B83" s="611">
        <v>13625073340.212002</v>
      </c>
      <c r="C83" s="611">
        <v>1505554321.846221</v>
      </c>
      <c r="D83" s="2"/>
      <c r="E83" s="2"/>
      <c r="F83" s="2"/>
      <c r="G83" s="2"/>
      <c r="H83" s="2"/>
      <c r="I83" s="2"/>
      <c r="J83" s="2"/>
      <c r="K83" s="2"/>
      <c r="L83" s="2"/>
      <c r="M83" s="2"/>
      <c r="N83" s="2"/>
      <c r="O83" s="2"/>
    </row>
    <row r="84" spans="1:15" x14ac:dyDescent="0.55000000000000004">
      <c r="A84" s="2">
        <v>2014</v>
      </c>
      <c r="B84" s="611">
        <v>14105523690</v>
      </c>
      <c r="C84" s="611">
        <v>1498125311</v>
      </c>
      <c r="D84" s="2"/>
      <c r="E84" s="2"/>
      <c r="F84" s="2"/>
      <c r="G84" s="2"/>
      <c r="H84" s="2"/>
      <c r="I84" s="2"/>
      <c r="J84" s="2"/>
      <c r="K84" s="2"/>
      <c r="L84" s="2"/>
      <c r="M84" s="2"/>
      <c r="N84" s="2"/>
      <c r="O84" s="2"/>
    </row>
    <row r="85" spans="1:15" x14ac:dyDescent="0.55000000000000004">
      <c r="A85">
        <v>2015</v>
      </c>
      <c r="B85" s="612">
        <v>14693452601.719999</v>
      </c>
      <c r="C85" s="610">
        <v>1477302656</v>
      </c>
      <c r="D85" s="2"/>
      <c r="E85" s="2"/>
      <c r="F85" s="2"/>
      <c r="G85" s="2"/>
      <c r="H85" s="2"/>
      <c r="I85" s="2"/>
      <c r="J85" s="2"/>
      <c r="K85" s="2"/>
      <c r="L85" s="2"/>
      <c r="M85" s="2"/>
      <c r="N85" s="2"/>
      <c r="O85" s="2"/>
    </row>
    <row r="86" spans="1:15" x14ac:dyDescent="0.55000000000000004">
      <c r="A86">
        <v>2016</v>
      </c>
      <c r="B86" s="612">
        <v>16329405720.936335</v>
      </c>
      <c r="C86" s="610">
        <v>1523672866.8289177</v>
      </c>
      <c r="D86"/>
      <c r="E86"/>
      <c r="F86"/>
      <c r="G86"/>
      <c r="H86"/>
      <c r="I86"/>
      <c r="J86"/>
      <c r="K86"/>
      <c r="L86"/>
      <c r="M86"/>
      <c r="N86"/>
      <c r="O86"/>
    </row>
    <row r="87" spans="1:15" x14ac:dyDescent="0.55000000000000004">
      <c r="A87">
        <v>2017</v>
      </c>
      <c r="B87" s="609">
        <v>15834408260</v>
      </c>
      <c r="C87" s="609">
        <v>1562515213</v>
      </c>
      <c r="D87"/>
      <c r="E87"/>
      <c r="F87"/>
      <c r="G87"/>
      <c r="H87"/>
      <c r="I87"/>
      <c r="J87"/>
      <c r="K87"/>
      <c r="L87"/>
      <c r="M87"/>
      <c r="N87"/>
      <c r="O87"/>
    </row>
    <row r="88" spans="1:15" x14ac:dyDescent="0.55000000000000004">
      <c r="A88">
        <v>2018</v>
      </c>
      <c r="B88" s="606">
        <v>16143540167.628906</v>
      </c>
      <c r="C88" s="606">
        <v>1748441688.9699364</v>
      </c>
      <c r="D88"/>
      <c r="E88"/>
      <c r="F88"/>
      <c r="G88"/>
      <c r="H88"/>
      <c r="I88"/>
      <c r="J88"/>
      <c r="K88"/>
      <c r="L88"/>
      <c r="M88"/>
      <c r="N88"/>
      <c r="O88"/>
    </row>
    <row r="89" spans="1:15" x14ac:dyDescent="0.55000000000000004">
      <c r="A89" s="76">
        <v>2019</v>
      </c>
      <c r="B89" s="606">
        <v>16778744994.412516</v>
      </c>
      <c r="C89" s="606">
        <v>1885952606.2099812</v>
      </c>
      <c r="D89"/>
      <c r="E89"/>
      <c r="F89"/>
      <c r="G89"/>
      <c r="H89"/>
      <c r="I89"/>
      <c r="J89"/>
      <c r="K89"/>
      <c r="L89"/>
      <c r="M89"/>
      <c r="N89"/>
      <c r="O89"/>
    </row>
    <row r="90" spans="1:15" x14ac:dyDescent="0.55000000000000004">
      <c r="A90">
        <v>2020</v>
      </c>
      <c r="B90" s="612">
        <f>'Attachment II-All Hospitals'!$E$55</f>
        <v>17148098364.309999</v>
      </c>
      <c r="C90" s="612">
        <f>'Attachment II-All Hospitals'!F55</f>
        <v>1942595565.4023769</v>
      </c>
      <c r="D90"/>
      <c r="E90"/>
      <c r="F90"/>
      <c r="G90"/>
      <c r="H90"/>
      <c r="I90"/>
      <c r="J90"/>
      <c r="K90"/>
      <c r="L90"/>
      <c r="M90"/>
      <c r="N90"/>
      <c r="O90"/>
    </row>
    <row r="92" spans="1:15" x14ac:dyDescent="0.55000000000000004">
      <c r="C92" s="142"/>
    </row>
    <row r="93" spans="1:15" x14ac:dyDescent="0.55000000000000004">
      <c r="B93" s="138"/>
      <c r="C93" s="142"/>
    </row>
    <row r="94" spans="1:15" x14ac:dyDescent="0.55000000000000004">
      <c r="C94" s="142"/>
    </row>
    <row r="95" spans="1:15" x14ac:dyDescent="0.55000000000000004">
      <c r="C95" s="143"/>
    </row>
    <row r="96" spans="1:15" x14ac:dyDescent="0.55000000000000004">
      <c r="C96" s="144"/>
    </row>
    <row r="98" spans="1:5" x14ac:dyDescent="0.55000000000000004">
      <c r="C98" s="142"/>
    </row>
    <row r="99" spans="1:5" x14ac:dyDescent="0.55000000000000004">
      <c r="B99" s="138"/>
      <c r="C99" s="142"/>
    </row>
    <row r="101" spans="1:5" x14ac:dyDescent="0.55000000000000004">
      <c r="C101" s="143"/>
    </row>
    <row r="102" spans="1:5" x14ac:dyDescent="0.55000000000000004">
      <c r="C102" s="144"/>
    </row>
    <row r="106" spans="1:5" ht="18.3" x14ac:dyDescent="0.7">
      <c r="A106" s="145"/>
      <c r="B106" s="146"/>
      <c r="D106" s="147"/>
      <c r="E106" s="148"/>
    </row>
    <row r="107" spans="1:5" x14ac:dyDescent="0.55000000000000004">
      <c r="B107" s="146"/>
      <c r="D107" s="149"/>
    </row>
    <row r="108" spans="1:5" x14ac:dyDescent="0.55000000000000004">
      <c r="B108" s="146"/>
      <c r="D108" s="149"/>
      <c r="E108" s="149"/>
    </row>
    <row r="109" spans="1:5" x14ac:dyDescent="0.55000000000000004">
      <c r="B109" s="146"/>
      <c r="D109" s="142"/>
      <c r="E109" s="142"/>
    </row>
    <row r="110" spans="1:5" ht="16.2" x14ac:dyDescent="0.85">
      <c r="B110" s="146"/>
      <c r="D110" s="150"/>
      <c r="E110" s="150"/>
    </row>
    <row r="111" spans="1:5" x14ac:dyDescent="0.55000000000000004">
      <c r="A111" s="151"/>
      <c r="B111" s="152"/>
      <c r="C111" s="151"/>
      <c r="D111" s="153"/>
      <c r="E111" s="153"/>
    </row>
    <row r="112" spans="1:5" x14ac:dyDescent="0.55000000000000004">
      <c r="B112" s="146"/>
      <c r="D112" s="149"/>
    </row>
    <row r="113" spans="1:5" x14ac:dyDescent="0.55000000000000004">
      <c r="D113" s="142"/>
    </row>
    <row r="114" spans="1:5" x14ac:dyDescent="0.55000000000000004">
      <c r="A114" s="154"/>
      <c r="D114" s="142"/>
    </row>
    <row r="115" spans="1:5" x14ac:dyDescent="0.55000000000000004">
      <c r="D115" s="142"/>
    </row>
    <row r="116" spans="1:5" x14ac:dyDescent="0.55000000000000004">
      <c r="D116" s="142"/>
    </row>
    <row r="117" spans="1:5" x14ac:dyDescent="0.55000000000000004">
      <c r="D117" s="142"/>
    </row>
    <row r="118" spans="1:5" ht="16.2" x14ac:dyDescent="0.85">
      <c r="D118" s="150"/>
    </row>
    <row r="119" spans="1:5" ht="16.2" x14ac:dyDescent="0.85">
      <c r="A119" s="151"/>
      <c r="B119" s="151"/>
      <c r="C119" s="151"/>
      <c r="D119" s="155"/>
      <c r="E119" s="156"/>
    </row>
    <row r="120" spans="1:5" x14ac:dyDescent="0.55000000000000004">
      <c r="A120" s="151"/>
      <c r="B120" s="151"/>
      <c r="C120" s="151"/>
      <c r="D120" s="151"/>
      <c r="E120" s="157"/>
    </row>
    <row r="121" spans="1:5" ht="16.2" x14ac:dyDescent="0.85">
      <c r="D121" s="158"/>
      <c r="E121" s="159"/>
    </row>
    <row r="124" spans="1:5" ht="16.2" x14ac:dyDescent="0.85">
      <c r="D124" s="160"/>
      <c r="E124" s="156"/>
    </row>
    <row r="126" spans="1:5" ht="16.2" x14ac:dyDescent="0.85">
      <c r="D126" s="161"/>
      <c r="E126" s="161"/>
    </row>
    <row r="128" spans="1:5" ht="16.2" x14ac:dyDescent="0.85">
      <c r="D128" s="156"/>
      <c r="E128" s="156"/>
    </row>
    <row r="130" spans="1:5" ht="18.3" x14ac:dyDescent="0.7">
      <c r="A130" s="162"/>
      <c r="B130" s="162"/>
      <c r="C130" s="162"/>
      <c r="D130" s="163"/>
      <c r="E130" s="163"/>
    </row>
  </sheetData>
  <sortState xmlns:xlrd2="http://schemas.microsoft.com/office/spreadsheetml/2017/richdata2" ref="Q3:S12">
    <sortCondition descending="1" ref="Q3:Q12"/>
  </sortState>
  <pageMargins left="0.7" right="0.7" top="0.75" bottom="0.75" header="0.3" footer="0.3"/>
  <pageSetup scale="64" fitToHeight="0" orientation="landscape" horizontalDpi="1200" verticalDpi="1200" r:id="rId1"/>
  <rowBreaks count="1" manualBreakCount="1">
    <brk id="38"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theme="0"/>
    <pageSetUpPr fitToPage="1"/>
  </sheetPr>
  <dimension ref="A1:K156"/>
  <sheetViews>
    <sheetView topLeftCell="A122" zoomScale="85" zoomScaleNormal="85" workbookViewId="0">
      <selection activeCell="H154" sqref="H154"/>
    </sheetView>
  </sheetViews>
  <sheetFormatPr defaultColWidth="8.71875" defaultRowHeight="12.3" x14ac:dyDescent="0.4"/>
  <cols>
    <col min="1" max="1" width="6.88671875" customWidth="1"/>
    <col min="2" max="2" width="40.609375" bestFit="1" customWidth="1"/>
    <col min="3" max="3" width="6.609375" customWidth="1"/>
    <col min="4" max="4" width="6.38671875" customWidth="1"/>
    <col min="5" max="5" width="9.109375" customWidth="1"/>
    <col min="6" max="6" width="14.5546875" customWidth="1"/>
    <col min="7" max="11" width="19.109375" customWidth="1"/>
  </cols>
  <sheetData>
    <row r="1" spans="1:11" x14ac:dyDescent="0.4">
      <c r="A1" s="132"/>
      <c r="B1" s="132"/>
      <c r="C1" s="84"/>
      <c r="D1" s="391"/>
      <c r="E1" s="84"/>
      <c r="F1" s="84"/>
      <c r="G1" s="84"/>
      <c r="H1" s="84"/>
      <c r="I1" s="84"/>
      <c r="J1" s="84"/>
      <c r="K1" s="84"/>
    </row>
    <row r="2" spans="1:11" ht="15" x14ac:dyDescent="0.5">
      <c r="A2" s="132"/>
      <c r="B2" s="132"/>
      <c r="C2" s="132"/>
      <c r="D2" s="715" t="s">
        <v>677</v>
      </c>
      <c r="E2" s="715"/>
      <c r="F2" s="715"/>
      <c r="G2" s="715"/>
      <c r="H2" s="715"/>
      <c r="I2" s="132"/>
      <c r="J2" s="390"/>
      <c r="K2" s="132"/>
    </row>
    <row r="3" spans="1:11" x14ac:dyDescent="0.4">
      <c r="A3" s="132"/>
      <c r="B3" s="117" t="s">
        <v>0</v>
      </c>
      <c r="C3" s="132"/>
      <c r="D3" s="132"/>
      <c r="E3" s="132"/>
      <c r="F3" s="132"/>
      <c r="G3" s="132"/>
      <c r="H3" s="132"/>
      <c r="I3" s="132"/>
      <c r="J3" s="132"/>
      <c r="K3" s="132"/>
    </row>
    <row r="5" spans="1:11" x14ac:dyDescent="0.4">
      <c r="A5" s="132"/>
      <c r="B5" s="133" t="s">
        <v>40</v>
      </c>
      <c r="C5" s="717" t="s">
        <v>225</v>
      </c>
      <c r="D5" s="727"/>
      <c r="E5" s="727"/>
      <c r="F5" s="727"/>
      <c r="G5" s="767"/>
      <c r="H5" s="132"/>
      <c r="I5" s="132"/>
      <c r="J5" s="132"/>
      <c r="K5" s="132"/>
    </row>
    <row r="6" spans="1:11" x14ac:dyDescent="0.4">
      <c r="A6" s="132"/>
      <c r="B6" s="133" t="s">
        <v>3</v>
      </c>
      <c r="C6" s="720" t="s">
        <v>270</v>
      </c>
      <c r="D6" s="721"/>
      <c r="E6" s="721"/>
      <c r="F6" s="721"/>
      <c r="G6" s="722"/>
      <c r="H6" s="132"/>
      <c r="I6" s="132"/>
      <c r="J6" s="132"/>
      <c r="K6" s="132"/>
    </row>
    <row r="7" spans="1:11" x14ac:dyDescent="0.4">
      <c r="A7" s="132"/>
      <c r="B7" s="133" t="s">
        <v>4</v>
      </c>
      <c r="C7" s="771">
        <v>3410</v>
      </c>
      <c r="D7" s="772"/>
      <c r="E7" s="772"/>
      <c r="F7" s="772"/>
      <c r="G7" s="773"/>
      <c r="H7" s="132"/>
      <c r="I7" s="132"/>
      <c r="J7" s="132"/>
      <c r="K7" s="132"/>
    </row>
    <row r="9" spans="1:11" x14ac:dyDescent="0.4">
      <c r="A9" s="132"/>
      <c r="B9" s="133" t="s">
        <v>1</v>
      </c>
      <c r="C9" s="774" t="s">
        <v>271</v>
      </c>
      <c r="D9" s="775"/>
      <c r="E9" s="775"/>
      <c r="F9" s="775"/>
      <c r="G9" s="776"/>
      <c r="H9" s="132"/>
      <c r="I9" s="132"/>
      <c r="J9" s="132"/>
      <c r="K9" s="132"/>
    </row>
    <row r="10" spans="1:11" x14ac:dyDescent="0.4">
      <c r="A10" s="132"/>
      <c r="B10" s="133" t="s">
        <v>2</v>
      </c>
      <c r="C10" s="712" t="s">
        <v>272</v>
      </c>
      <c r="D10" s="769"/>
      <c r="E10" s="769"/>
      <c r="F10" s="769"/>
      <c r="G10" s="770"/>
      <c r="H10" s="132"/>
      <c r="I10" s="132"/>
      <c r="J10" s="132"/>
      <c r="K10" s="132"/>
    </row>
    <row r="11" spans="1:11" x14ac:dyDescent="0.4">
      <c r="A11" s="132"/>
      <c r="B11" s="133" t="s">
        <v>32</v>
      </c>
      <c r="C11" s="717" t="s">
        <v>273</v>
      </c>
      <c r="D11" s="727"/>
      <c r="E11" s="727"/>
      <c r="F11" s="727"/>
      <c r="G11" s="767"/>
      <c r="H11" s="132"/>
      <c r="I11" s="132"/>
      <c r="J11" s="132"/>
      <c r="K11" s="132"/>
    </row>
    <row r="12" spans="1:11" x14ac:dyDescent="0.4">
      <c r="A12" s="132"/>
      <c r="B12" s="133"/>
      <c r="C12" s="133"/>
      <c r="D12" s="133"/>
      <c r="E12" s="133"/>
      <c r="F12" s="133"/>
      <c r="G12" s="133"/>
      <c r="H12" s="132"/>
      <c r="I12" s="132"/>
      <c r="J12" s="132"/>
      <c r="K12" s="132"/>
    </row>
    <row r="13" spans="1:11" x14ac:dyDescent="0.4">
      <c r="A13" s="132"/>
      <c r="B13" s="728"/>
      <c r="C13" s="728"/>
      <c r="D13" s="728"/>
      <c r="E13" s="728"/>
      <c r="F13" s="728"/>
      <c r="G13" s="728"/>
      <c r="H13" s="728"/>
      <c r="I13" s="84"/>
      <c r="J13" s="132"/>
      <c r="K13" s="132"/>
    </row>
    <row r="14" spans="1:11" x14ac:dyDescent="0.4">
      <c r="A14" s="132"/>
      <c r="B14" s="464"/>
      <c r="C14" s="132"/>
      <c r="D14" s="132"/>
      <c r="E14" s="132"/>
      <c r="F14" s="132"/>
      <c r="G14" s="132"/>
      <c r="H14" s="132"/>
      <c r="I14" s="132"/>
      <c r="J14" s="132"/>
      <c r="K14" s="132"/>
    </row>
    <row r="15" spans="1:11" x14ac:dyDescent="0.4">
      <c r="A15" s="132"/>
      <c r="B15" s="464"/>
      <c r="C15" s="132"/>
      <c r="D15" s="132"/>
      <c r="E15" s="132"/>
      <c r="F15" s="132"/>
      <c r="G15" s="132"/>
      <c r="H15" s="132"/>
      <c r="I15" s="132"/>
      <c r="J15" s="132"/>
      <c r="K15" s="132"/>
    </row>
    <row r="16" spans="1:11" ht="24.6" x14ac:dyDescent="0.4">
      <c r="A16" s="768" t="s">
        <v>181</v>
      </c>
      <c r="B16" s="768"/>
      <c r="C16" s="84"/>
      <c r="D16" s="84"/>
      <c r="E16" s="84"/>
      <c r="F16" s="119" t="s">
        <v>9</v>
      </c>
      <c r="G16" s="119" t="s">
        <v>37</v>
      </c>
      <c r="H16" s="119" t="s">
        <v>29</v>
      </c>
      <c r="I16" s="119" t="s">
        <v>30</v>
      </c>
      <c r="J16" s="119" t="s">
        <v>33</v>
      </c>
      <c r="K16" s="119" t="s">
        <v>34</v>
      </c>
    </row>
    <row r="17" spans="1:11" x14ac:dyDescent="0.4">
      <c r="A17" s="118" t="s">
        <v>184</v>
      </c>
      <c r="B17" s="117" t="s">
        <v>182</v>
      </c>
      <c r="C17" s="132"/>
      <c r="D17" s="132"/>
      <c r="E17" s="132"/>
      <c r="F17" s="132"/>
      <c r="G17" s="132"/>
      <c r="H17" s="132"/>
      <c r="I17" s="132"/>
      <c r="J17" s="132"/>
      <c r="K17" s="132"/>
    </row>
    <row r="18" spans="1:11" x14ac:dyDescent="0.4">
      <c r="A18" s="133" t="s">
        <v>185</v>
      </c>
      <c r="B18" s="132" t="s">
        <v>183</v>
      </c>
      <c r="C18" s="132"/>
      <c r="D18" s="132"/>
      <c r="E18" s="132"/>
      <c r="F18" s="326" t="s">
        <v>73</v>
      </c>
      <c r="G18" s="326" t="s">
        <v>73</v>
      </c>
      <c r="H18" s="616">
        <v>12858796.84</v>
      </c>
      <c r="I18" s="354">
        <v>0</v>
      </c>
      <c r="J18" s="616">
        <v>10656987.039999999</v>
      </c>
      <c r="K18" s="616">
        <f>H18-J18</f>
        <v>2201809.8000000007</v>
      </c>
    </row>
    <row r="19" spans="1:11" ht="42.75" customHeight="1" x14ac:dyDescent="0.4">
      <c r="A19" s="768" t="s">
        <v>8</v>
      </c>
      <c r="B19" s="768"/>
      <c r="C19" s="84"/>
      <c r="D19" s="84"/>
      <c r="E19" s="84"/>
      <c r="F19" s="119" t="s">
        <v>9</v>
      </c>
      <c r="G19" s="119" t="s">
        <v>37</v>
      </c>
      <c r="H19" s="119" t="s">
        <v>29</v>
      </c>
      <c r="I19" s="119" t="s">
        <v>30</v>
      </c>
      <c r="J19" s="119" t="s">
        <v>33</v>
      </c>
      <c r="K19" s="119" t="s">
        <v>34</v>
      </c>
    </row>
    <row r="20" spans="1:11" x14ac:dyDescent="0.4">
      <c r="A20" s="118" t="s">
        <v>74</v>
      </c>
      <c r="B20" s="117" t="s">
        <v>41</v>
      </c>
      <c r="C20" s="132"/>
      <c r="D20" s="132"/>
      <c r="E20" s="132"/>
      <c r="F20" s="132"/>
      <c r="G20" s="132"/>
      <c r="H20" s="132"/>
      <c r="I20" s="132"/>
      <c r="J20" s="132"/>
      <c r="K20" s="132"/>
    </row>
    <row r="21" spans="1:11" x14ac:dyDescent="0.4">
      <c r="A21" s="133" t="s">
        <v>75</v>
      </c>
      <c r="B21" s="132" t="s">
        <v>42</v>
      </c>
      <c r="C21" s="132"/>
      <c r="D21" s="132"/>
      <c r="E21" s="132"/>
      <c r="F21" s="326">
        <v>21868</v>
      </c>
      <c r="G21" s="326">
        <v>91477</v>
      </c>
      <c r="H21" s="354">
        <v>1911996</v>
      </c>
      <c r="I21" s="354">
        <v>637882</v>
      </c>
      <c r="J21" s="354">
        <v>126143</v>
      </c>
      <c r="K21" s="354">
        <v>2423735</v>
      </c>
    </row>
    <row r="22" spans="1:11" x14ac:dyDescent="0.4">
      <c r="A22" s="133" t="s">
        <v>76</v>
      </c>
      <c r="B22" s="132" t="s">
        <v>6</v>
      </c>
      <c r="C22" s="132"/>
      <c r="D22" s="132"/>
      <c r="E22" s="132"/>
      <c r="F22" s="326">
        <v>289</v>
      </c>
      <c r="G22" s="326">
        <v>582</v>
      </c>
      <c r="H22" s="354">
        <v>23237</v>
      </c>
      <c r="I22" s="354">
        <v>10190</v>
      </c>
      <c r="J22" s="354">
        <v>4348</v>
      </c>
      <c r="K22" s="354">
        <v>29079</v>
      </c>
    </row>
    <row r="23" spans="1:11" x14ac:dyDescent="0.4">
      <c r="A23" s="133" t="s">
        <v>77</v>
      </c>
      <c r="B23" s="132" t="s">
        <v>43</v>
      </c>
      <c r="C23" s="132"/>
      <c r="D23" s="132"/>
      <c r="E23" s="132"/>
      <c r="F23" s="326">
        <v>0</v>
      </c>
      <c r="G23" s="326">
        <v>0</v>
      </c>
      <c r="H23" s="354">
        <v>0</v>
      </c>
      <c r="I23" s="354">
        <v>0</v>
      </c>
      <c r="J23" s="354">
        <v>0</v>
      </c>
      <c r="K23" s="354">
        <v>0</v>
      </c>
    </row>
    <row r="24" spans="1:11" x14ac:dyDescent="0.4">
      <c r="A24" s="133" t="s">
        <v>78</v>
      </c>
      <c r="B24" s="132" t="s">
        <v>44</v>
      </c>
      <c r="C24" s="132"/>
      <c r="D24" s="132"/>
      <c r="E24" s="132"/>
      <c r="F24" s="326">
        <v>272.5</v>
      </c>
      <c r="G24" s="326">
        <v>2331</v>
      </c>
      <c r="H24" s="354">
        <v>558079</v>
      </c>
      <c r="I24" s="354">
        <v>103067</v>
      </c>
      <c r="J24" s="354">
        <v>0</v>
      </c>
      <c r="K24" s="354">
        <v>661146</v>
      </c>
    </row>
    <row r="25" spans="1:11" x14ac:dyDescent="0.4">
      <c r="A25" s="133" t="s">
        <v>79</v>
      </c>
      <c r="B25" s="132" t="s">
        <v>5</v>
      </c>
      <c r="C25" s="132"/>
      <c r="D25" s="132"/>
      <c r="E25" s="132"/>
      <c r="F25" s="326">
        <v>0</v>
      </c>
      <c r="G25" s="326">
        <v>0</v>
      </c>
      <c r="H25" s="354">
        <v>0</v>
      </c>
      <c r="I25" s="354">
        <v>0</v>
      </c>
      <c r="J25" s="354">
        <v>0</v>
      </c>
      <c r="K25" s="354">
        <v>0</v>
      </c>
    </row>
    <row r="26" spans="1:11" x14ac:dyDescent="0.4">
      <c r="A26" s="133" t="s">
        <v>80</v>
      </c>
      <c r="B26" s="132" t="s">
        <v>45</v>
      </c>
      <c r="C26" s="132"/>
      <c r="D26" s="132"/>
      <c r="E26" s="132"/>
      <c r="F26" s="326">
        <v>0</v>
      </c>
      <c r="G26" s="326">
        <v>0</v>
      </c>
      <c r="H26" s="354">
        <v>0</v>
      </c>
      <c r="I26" s="354">
        <v>0</v>
      </c>
      <c r="J26" s="354">
        <v>0</v>
      </c>
      <c r="K26" s="354">
        <v>0</v>
      </c>
    </row>
    <row r="27" spans="1:11" x14ac:dyDescent="0.4">
      <c r="A27" s="133" t="s">
        <v>81</v>
      </c>
      <c r="B27" s="132" t="s">
        <v>46</v>
      </c>
      <c r="C27" s="132"/>
      <c r="D27" s="132"/>
      <c r="E27" s="132"/>
      <c r="F27" s="326">
        <v>0</v>
      </c>
      <c r="G27" s="326">
        <v>0</v>
      </c>
      <c r="H27" s="354">
        <v>0</v>
      </c>
      <c r="I27" s="354">
        <v>0</v>
      </c>
      <c r="J27" s="354">
        <v>0</v>
      </c>
      <c r="K27" s="354">
        <v>0</v>
      </c>
    </row>
    <row r="28" spans="1:11" x14ac:dyDescent="0.4">
      <c r="A28" s="133" t="s">
        <v>82</v>
      </c>
      <c r="B28" s="132" t="s">
        <v>47</v>
      </c>
      <c r="C28" s="132"/>
      <c r="D28" s="132"/>
      <c r="E28" s="132"/>
      <c r="F28" s="326">
        <v>0</v>
      </c>
      <c r="G28" s="326">
        <v>1074</v>
      </c>
      <c r="H28" s="354">
        <v>176704</v>
      </c>
      <c r="I28" s="354">
        <v>32160</v>
      </c>
      <c r="J28" s="354">
        <v>46025</v>
      </c>
      <c r="K28" s="354">
        <v>162839</v>
      </c>
    </row>
    <row r="29" spans="1:11" x14ac:dyDescent="0.4">
      <c r="A29" s="133" t="s">
        <v>83</v>
      </c>
      <c r="B29" s="132" t="s">
        <v>48</v>
      </c>
      <c r="C29" s="132"/>
      <c r="D29" s="132"/>
      <c r="E29" s="132"/>
      <c r="F29" s="326">
        <v>5955</v>
      </c>
      <c r="G29" s="326">
        <v>59896</v>
      </c>
      <c r="H29" s="354">
        <v>3122881</v>
      </c>
      <c r="I29" s="354">
        <v>932963</v>
      </c>
      <c r="J29" s="354">
        <v>0</v>
      </c>
      <c r="K29" s="354">
        <v>4055844</v>
      </c>
    </row>
    <row r="30" spans="1:11" x14ac:dyDescent="0.4">
      <c r="A30" s="133" t="s">
        <v>84</v>
      </c>
      <c r="B30" s="701" t="s">
        <v>536</v>
      </c>
      <c r="C30" s="702"/>
      <c r="D30" s="703"/>
      <c r="E30" s="132"/>
      <c r="F30" s="326">
        <v>15904</v>
      </c>
      <c r="G30" s="326">
        <v>47981</v>
      </c>
      <c r="H30" s="354">
        <v>1238856</v>
      </c>
      <c r="I30" s="354">
        <v>606801</v>
      </c>
      <c r="J30" s="354">
        <v>13972</v>
      </c>
      <c r="K30" s="354">
        <v>1831685</v>
      </c>
    </row>
    <row r="31" spans="1:11" x14ac:dyDescent="0.4">
      <c r="A31" s="133" t="s">
        <v>133</v>
      </c>
      <c r="B31" s="701"/>
      <c r="C31" s="702"/>
      <c r="D31" s="703"/>
      <c r="E31" s="132"/>
      <c r="F31" s="326"/>
      <c r="G31" s="326"/>
      <c r="H31" s="327"/>
      <c r="I31" s="354">
        <v>0</v>
      </c>
      <c r="J31" s="354">
        <v>0</v>
      </c>
      <c r="K31" s="354">
        <v>0</v>
      </c>
    </row>
    <row r="32" spans="1:11" x14ac:dyDescent="0.4">
      <c r="A32" s="133" t="s">
        <v>134</v>
      </c>
      <c r="B32" s="473"/>
      <c r="C32" s="474"/>
      <c r="D32" s="475"/>
      <c r="E32" s="132"/>
      <c r="F32" s="326"/>
      <c r="G32" s="326" t="s">
        <v>85</v>
      </c>
      <c r="H32" s="327"/>
      <c r="I32" s="354">
        <v>0</v>
      </c>
      <c r="J32" s="354">
        <v>0</v>
      </c>
      <c r="K32" s="354">
        <v>0</v>
      </c>
    </row>
    <row r="33" spans="1:11" x14ac:dyDescent="0.4">
      <c r="A33" s="133" t="s">
        <v>135</v>
      </c>
      <c r="B33" s="473"/>
      <c r="C33" s="474"/>
      <c r="D33" s="475"/>
      <c r="E33" s="132"/>
      <c r="F33" s="326"/>
      <c r="G33" s="326" t="s">
        <v>85</v>
      </c>
      <c r="H33" s="327"/>
      <c r="I33" s="354">
        <v>0</v>
      </c>
      <c r="J33" s="354">
        <v>0</v>
      </c>
      <c r="K33" s="354">
        <v>0</v>
      </c>
    </row>
    <row r="34" spans="1:11" x14ac:dyDescent="0.4">
      <c r="A34" s="133" t="s">
        <v>136</v>
      </c>
      <c r="B34" s="701"/>
      <c r="C34" s="702"/>
      <c r="D34" s="703"/>
      <c r="E34" s="132"/>
      <c r="F34" s="326"/>
      <c r="G34" s="326" t="s">
        <v>85</v>
      </c>
      <c r="H34" s="327"/>
      <c r="I34" s="354">
        <v>0</v>
      </c>
      <c r="J34" s="354">
        <v>0</v>
      </c>
      <c r="K34" s="354">
        <v>0</v>
      </c>
    </row>
    <row r="35" spans="1:11" x14ac:dyDescent="0.4">
      <c r="A35" s="132"/>
      <c r="B35" s="132"/>
      <c r="C35" s="132"/>
      <c r="D35" s="132"/>
      <c r="E35" s="132"/>
      <c r="F35" s="132"/>
      <c r="G35" s="132"/>
      <c r="H35" s="132"/>
      <c r="I35" s="132"/>
      <c r="J35" s="132"/>
      <c r="K35" s="468"/>
    </row>
    <row r="36" spans="1:11" x14ac:dyDescent="0.4">
      <c r="A36" s="118" t="s">
        <v>137</v>
      </c>
      <c r="B36" s="117" t="s">
        <v>138</v>
      </c>
      <c r="C36" s="132"/>
      <c r="D36" s="132"/>
      <c r="E36" s="117" t="s">
        <v>7</v>
      </c>
      <c r="F36" s="329">
        <v>44288.5</v>
      </c>
      <c r="G36" s="329">
        <v>203341</v>
      </c>
      <c r="H36" s="355">
        <v>7031753</v>
      </c>
      <c r="I36" s="355">
        <v>2323063</v>
      </c>
      <c r="J36" s="355">
        <v>190488</v>
      </c>
      <c r="K36" s="355">
        <v>9164328</v>
      </c>
    </row>
    <row r="38" spans="1:11" ht="24.6" x14ac:dyDescent="0.4">
      <c r="A38" s="132"/>
      <c r="B38" s="132"/>
      <c r="C38" s="132"/>
      <c r="D38" s="132"/>
      <c r="E38" s="132"/>
      <c r="F38" s="119" t="s">
        <v>9</v>
      </c>
      <c r="G38" s="119" t="s">
        <v>37</v>
      </c>
      <c r="H38" s="119" t="s">
        <v>29</v>
      </c>
      <c r="I38" s="119" t="s">
        <v>30</v>
      </c>
      <c r="J38" s="119" t="s">
        <v>33</v>
      </c>
      <c r="K38" s="119" t="s">
        <v>34</v>
      </c>
    </row>
    <row r="39" spans="1:11" x14ac:dyDescent="0.4">
      <c r="A39" s="118" t="s">
        <v>86</v>
      </c>
      <c r="B39" s="117" t="s">
        <v>49</v>
      </c>
      <c r="C39" s="132"/>
      <c r="D39" s="132"/>
      <c r="E39" s="132"/>
      <c r="F39" s="132"/>
      <c r="G39" s="132"/>
      <c r="H39" s="132"/>
      <c r="I39" s="132"/>
      <c r="J39" s="132"/>
      <c r="K39" s="132"/>
    </row>
    <row r="40" spans="1:11" x14ac:dyDescent="0.4">
      <c r="A40" s="133" t="s">
        <v>87</v>
      </c>
      <c r="B40" s="132" t="s">
        <v>31</v>
      </c>
      <c r="C40" s="132"/>
      <c r="D40" s="132"/>
      <c r="E40" s="132"/>
      <c r="F40" s="326">
        <v>13.3</v>
      </c>
      <c r="G40" s="326">
        <v>163</v>
      </c>
      <c r="H40" s="354">
        <v>25711604</v>
      </c>
      <c r="I40" s="354">
        <v>16224022</v>
      </c>
      <c r="J40" s="354">
        <v>751</v>
      </c>
      <c r="K40" s="354">
        <v>41934875</v>
      </c>
    </row>
    <row r="41" spans="1:11" x14ac:dyDescent="0.4">
      <c r="A41" s="133" t="s">
        <v>88</v>
      </c>
      <c r="B41" s="711" t="s">
        <v>50</v>
      </c>
      <c r="C41" s="711"/>
      <c r="D41" s="132"/>
      <c r="E41" s="132"/>
      <c r="F41" s="326">
        <v>19512.400000000001</v>
      </c>
      <c r="G41" s="326">
        <v>700</v>
      </c>
      <c r="H41" s="354">
        <v>1763930</v>
      </c>
      <c r="I41" s="354">
        <v>1113038</v>
      </c>
      <c r="J41" s="354">
        <v>901</v>
      </c>
      <c r="K41" s="354">
        <v>2876067</v>
      </c>
    </row>
    <row r="42" spans="1:11" x14ac:dyDescent="0.4">
      <c r="A42" s="133" t="s">
        <v>89</v>
      </c>
      <c r="B42" s="132" t="s">
        <v>11</v>
      </c>
      <c r="C42" s="132"/>
      <c r="D42" s="132"/>
      <c r="E42" s="132"/>
      <c r="F42" s="326">
        <v>22406.75</v>
      </c>
      <c r="G42" s="326">
        <v>2265</v>
      </c>
      <c r="H42" s="354">
        <v>1320205</v>
      </c>
      <c r="I42" s="354">
        <v>831955</v>
      </c>
      <c r="J42" s="354">
        <v>751</v>
      </c>
      <c r="K42" s="354">
        <v>2151409</v>
      </c>
    </row>
    <row r="43" spans="1:11" x14ac:dyDescent="0.4">
      <c r="A43" s="133" t="s">
        <v>90</v>
      </c>
      <c r="B43" s="132" t="s">
        <v>10</v>
      </c>
      <c r="C43" s="132"/>
      <c r="D43" s="132"/>
      <c r="E43" s="132"/>
      <c r="F43" s="326">
        <v>511</v>
      </c>
      <c r="G43" s="326">
        <v>14</v>
      </c>
      <c r="H43" s="354">
        <v>253535</v>
      </c>
      <c r="I43" s="354">
        <v>159980</v>
      </c>
      <c r="J43" s="354">
        <v>0</v>
      </c>
      <c r="K43" s="354">
        <v>413515</v>
      </c>
    </row>
    <row r="44" spans="1:11" x14ac:dyDescent="0.4">
      <c r="A44" s="133"/>
      <c r="B44" s="525"/>
      <c r="C44" s="132"/>
      <c r="D44" s="132"/>
      <c r="E44" s="132"/>
      <c r="F44" s="326"/>
      <c r="G44" s="326"/>
      <c r="H44" s="354"/>
      <c r="I44" s="354"/>
      <c r="J44" s="354"/>
      <c r="K44" s="354"/>
    </row>
    <row r="45" spans="1:11" x14ac:dyDescent="0.4">
      <c r="A45" s="133"/>
      <c r="B45" s="525"/>
      <c r="C45" s="132"/>
      <c r="D45" s="132"/>
      <c r="E45" s="132"/>
      <c r="F45" s="326"/>
      <c r="G45" s="326"/>
      <c r="H45" s="354"/>
      <c r="I45" s="354"/>
      <c r="J45" s="354"/>
      <c r="K45" s="354"/>
    </row>
    <row r="46" spans="1:11" x14ac:dyDescent="0.4">
      <c r="A46" s="133"/>
      <c r="B46" s="525"/>
      <c r="C46" s="132"/>
      <c r="D46" s="132"/>
      <c r="E46" s="132"/>
      <c r="F46" s="326"/>
      <c r="G46" s="326"/>
      <c r="H46" s="354"/>
      <c r="I46" s="354"/>
      <c r="J46" s="354"/>
      <c r="K46" s="354"/>
    </row>
    <row r="47" spans="1:11" x14ac:dyDescent="0.4">
      <c r="A47" s="133"/>
      <c r="B47" s="525"/>
      <c r="C47" s="132"/>
      <c r="D47" s="132"/>
      <c r="E47" s="132"/>
      <c r="F47" s="326"/>
      <c r="G47" s="326"/>
      <c r="H47" s="354"/>
      <c r="I47" s="354"/>
      <c r="J47" s="354"/>
      <c r="K47" s="354"/>
    </row>
    <row r="49" spans="1:11" x14ac:dyDescent="0.4">
      <c r="A49" s="118" t="s">
        <v>142</v>
      </c>
      <c r="B49" s="117" t="s">
        <v>143</v>
      </c>
      <c r="C49" s="132"/>
      <c r="D49" s="132"/>
      <c r="E49" s="117" t="s">
        <v>7</v>
      </c>
      <c r="F49" s="356">
        <v>42443.45</v>
      </c>
      <c r="G49" s="356">
        <v>3142</v>
      </c>
      <c r="H49" s="355">
        <v>29049274</v>
      </c>
      <c r="I49" s="355">
        <v>18328995</v>
      </c>
      <c r="J49" s="355">
        <v>2403</v>
      </c>
      <c r="K49" s="355">
        <v>47375866</v>
      </c>
    </row>
    <row r="50" spans="1:11" ht="12.6" thickBot="1" x14ac:dyDescent="0.45">
      <c r="A50" s="132"/>
      <c r="B50" s="132"/>
      <c r="C50" s="132"/>
      <c r="D50" s="132"/>
      <c r="E50" s="132"/>
      <c r="F50" s="123"/>
      <c r="G50" s="123"/>
      <c r="H50" s="123"/>
      <c r="I50" s="123"/>
      <c r="J50" s="123"/>
      <c r="K50" s="231"/>
    </row>
    <row r="51" spans="1:11" ht="24.6" x14ac:dyDescent="0.4">
      <c r="A51" s="132"/>
      <c r="B51" s="132"/>
      <c r="C51" s="132"/>
      <c r="D51" s="132"/>
      <c r="E51" s="132"/>
      <c r="F51" s="119" t="s">
        <v>9</v>
      </c>
      <c r="G51" s="119" t="s">
        <v>37</v>
      </c>
      <c r="H51" s="119" t="s">
        <v>29</v>
      </c>
      <c r="I51" s="119" t="s">
        <v>30</v>
      </c>
      <c r="J51" s="119" t="s">
        <v>33</v>
      </c>
      <c r="K51" s="119" t="s">
        <v>34</v>
      </c>
    </row>
    <row r="52" spans="1:11" ht="15.75" customHeight="1" x14ac:dyDescent="0.4">
      <c r="A52" s="118" t="s">
        <v>92</v>
      </c>
      <c r="B52" s="699" t="s">
        <v>38</v>
      </c>
      <c r="C52" s="699"/>
      <c r="D52" s="132"/>
      <c r="E52" s="132"/>
      <c r="F52" s="132"/>
      <c r="G52" s="132"/>
      <c r="H52" s="132"/>
      <c r="I52" s="132"/>
      <c r="J52" s="132"/>
      <c r="K52" s="132"/>
    </row>
    <row r="53" spans="1:11" ht="15" x14ac:dyDescent="0.5">
      <c r="A53" s="133" t="s">
        <v>51</v>
      </c>
      <c r="B53" s="232" t="s">
        <v>274</v>
      </c>
      <c r="C53" s="233"/>
      <c r="D53" s="234"/>
      <c r="E53" s="132"/>
      <c r="F53" s="326">
        <v>0</v>
      </c>
      <c r="G53" s="326">
        <v>0</v>
      </c>
      <c r="H53" s="354">
        <v>1801526</v>
      </c>
      <c r="I53" s="354">
        <v>0</v>
      </c>
      <c r="J53" s="354">
        <v>1114078</v>
      </c>
      <c r="K53" s="354">
        <v>687448</v>
      </c>
    </row>
    <row r="54" spans="1:11" ht="15" x14ac:dyDescent="0.5">
      <c r="A54" s="133" t="s">
        <v>93</v>
      </c>
      <c r="B54" s="235" t="s">
        <v>275</v>
      </c>
      <c r="C54" s="236"/>
      <c r="D54" s="237"/>
      <c r="E54" s="132"/>
      <c r="F54" s="326">
        <v>0</v>
      </c>
      <c r="G54" s="326">
        <v>0</v>
      </c>
      <c r="H54" s="354">
        <v>436217</v>
      </c>
      <c r="I54" s="354">
        <v>0</v>
      </c>
      <c r="J54" s="354">
        <v>0</v>
      </c>
      <c r="K54" s="354">
        <v>436217</v>
      </c>
    </row>
    <row r="55" spans="1:11" ht="15" x14ac:dyDescent="0.5">
      <c r="A55" s="133" t="s">
        <v>94</v>
      </c>
      <c r="B55" s="232" t="s">
        <v>474</v>
      </c>
      <c r="C55" s="233"/>
      <c r="D55" s="234"/>
      <c r="E55" s="132"/>
      <c r="F55" s="326">
        <v>0</v>
      </c>
      <c r="G55" s="326">
        <v>0</v>
      </c>
      <c r="H55" s="354">
        <v>3296518</v>
      </c>
      <c r="I55" s="354">
        <v>0</v>
      </c>
      <c r="J55" s="354">
        <v>0</v>
      </c>
      <c r="K55" s="354">
        <v>3296518</v>
      </c>
    </row>
    <row r="56" spans="1:11" ht="15" x14ac:dyDescent="0.5">
      <c r="A56" s="133" t="s">
        <v>95</v>
      </c>
      <c r="B56" s="232" t="s">
        <v>276</v>
      </c>
      <c r="C56" s="233"/>
      <c r="D56" s="234"/>
      <c r="E56" s="132"/>
      <c r="F56" s="326">
        <v>0</v>
      </c>
      <c r="G56" s="326">
        <v>0</v>
      </c>
      <c r="H56" s="354">
        <v>462443</v>
      </c>
      <c r="I56" s="354">
        <v>0</v>
      </c>
      <c r="J56" s="354">
        <v>0</v>
      </c>
      <c r="K56" s="354">
        <v>462443</v>
      </c>
    </row>
    <row r="57" spans="1:11" x14ac:dyDescent="0.4">
      <c r="A57" s="133" t="s">
        <v>97</v>
      </c>
      <c r="B57" s="473" t="s">
        <v>277</v>
      </c>
      <c r="C57" s="474"/>
      <c r="D57" s="475"/>
      <c r="E57" s="132"/>
      <c r="F57" s="326">
        <v>0</v>
      </c>
      <c r="G57" s="326">
        <v>0</v>
      </c>
      <c r="H57" s="354">
        <v>195003</v>
      </c>
      <c r="I57" s="354">
        <v>0</v>
      </c>
      <c r="J57" s="354">
        <v>0</v>
      </c>
      <c r="K57" s="354">
        <v>195003</v>
      </c>
    </row>
    <row r="58" spans="1:11" x14ac:dyDescent="0.4">
      <c r="A58" s="133" t="s">
        <v>98</v>
      </c>
      <c r="B58" s="473" t="s">
        <v>475</v>
      </c>
      <c r="C58" s="474"/>
      <c r="D58" s="475"/>
      <c r="E58" s="132"/>
      <c r="F58" s="326">
        <v>0</v>
      </c>
      <c r="G58" s="326">
        <v>0</v>
      </c>
      <c r="H58" s="354">
        <v>0</v>
      </c>
      <c r="I58" s="354">
        <v>0</v>
      </c>
      <c r="J58" s="354">
        <v>0</v>
      </c>
      <c r="K58" s="354">
        <v>0</v>
      </c>
    </row>
    <row r="59" spans="1:11" x14ac:dyDescent="0.4">
      <c r="A59" s="133" t="s">
        <v>99</v>
      </c>
      <c r="B59" s="701" t="s">
        <v>279</v>
      </c>
      <c r="C59" s="702"/>
      <c r="D59" s="703"/>
      <c r="E59" s="132"/>
      <c r="F59" s="326">
        <v>0</v>
      </c>
      <c r="G59" s="326">
        <v>0</v>
      </c>
      <c r="H59" s="354">
        <v>0</v>
      </c>
      <c r="I59" s="354">
        <v>0</v>
      </c>
      <c r="J59" s="354">
        <v>0</v>
      </c>
      <c r="K59" s="354">
        <v>0</v>
      </c>
    </row>
    <row r="60" spans="1:11" x14ac:dyDescent="0.4">
      <c r="A60" s="133" t="s">
        <v>100</v>
      </c>
      <c r="B60" s="701" t="s">
        <v>278</v>
      </c>
      <c r="C60" s="702"/>
      <c r="D60" s="703"/>
      <c r="E60" s="132"/>
      <c r="F60" s="326">
        <v>0</v>
      </c>
      <c r="G60" s="326">
        <v>0</v>
      </c>
      <c r="H60" s="354">
        <v>1641720</v>
      </c>
      <c r="I60" s="354">
        <v>0</v>
      </c>
      <c r="J60" s="354">
        <v>0</v>
      </c>
      <c r="K60" s="354">
        <v>1641720</v>
      </c>
    </row>
    <row r="61" spans="1:11" x14ac:dyDescent="0.4">
      <c r="A61" s="133" t="s">
        <v>761</v>
      </c>
      <c r="B61" s="473" t="s">
        <v>762</v>
      </c>
      <c r="C61" s="474"/>
      <c r="D61" s="475"/>
      <c r="E61" s="132"/>
      <c r="F61" s="326">
        <v>0</v>
      </c>
      <c r="G61" s="326">
        <v>0</v>
      </c>
      <c r="H61" s="354">
        <v>3931382</v>
      </c>
      <c r="I61" s="354">
        <v>0</v>
      </c>
      <c r="J61" s="354">
        <v>0</v>
      </c>
      <c r="K61" s="354">
        <v>3931382</v>
      </c>
    </row>
    <row r="62" spans="1:11" x14ac:dyDescent="0.4">
      <c r="A62" s="133"/>
      <c r="B62" s="778"/>
      <c r="C62" s="778"/>
      <c r="D62" s="778"/>
      <c r="E62" s="132"/>
      <c r="F62" s="326"/>
      <c r="G62" s="326"/>
      <c r="H62" s="354"/>
      <c r="I62" s="354"/>
      <c r="J62" s="354"/>
      <c r="K62" s="354"/>
    </row>
    <row r="63" spans="1:11" x14ac:dyDescent="0.4">
      <c r="A63" s="133"/>
      <c r="B63" s="132"/>
      <c r="C63" s="132"/>
      <c r="D63" s="132"/>
      <c r="E63" s="132"/>
      <c r="F63" s="132"/>
      <c r="G63" s="132"/>
      <c r="H63" s="132"/>
      <c r="I63" s="526"/>
      <c r="J63" s="132"/>
      <c r="K63" s="132"/>
    </row>
    <row r="64" spans="1:11" x14ac:dyDescent="0.4">
      <c r="A64" s="133" t="s">
        <v>144</v>
      </c>
      <c r="B64" s="117" t="s">
        <v>145</v>
      </c>
      <c r="C64" s="132"/>
      <c r="D64" s="132"/>
      <c r="E64" s="117" t="s">
        <v>7</v>
      </c>
      <c r="F64" s="329">
        <v>0</v>
      </c>
      <c r="G64" s="329">
        <v>0</v>
      </c>
      <c r="H64" s="355">
        <v>11764809</v>
      </c>
      <c r="I64" s="355">
        <v>0</v>
      </c>
      <c r="J64" s="355">
        <v>1114078</v>
      </c>
      <c r="K64" s="355">
        <v>10650731</v>
      </c>
    </row>
    <row r="65" spans="1:11" x14ac:dyDescent="0.4">
      <c r="A65" s="132"/>
      <c r="B65" s="132"/>
      <c r="C65" s="132"/>
      <c r="D65" s="132"/>
      <c r="E65" s="132"/>
      <c r="F65" s="128"/>
      <c r="G65" s="128"/>
      <c r="H65" s="128"/>
      <c r="I65" s="128"/>
      <c r="J65" s="128"/>
      <c r="K65" s="128"/>
    </row>
    <row r="66" spans="1:11" ht="24.6" x14ac:dyDescent="0.4">
      <c r="A66" s="132"/>
      <c r="B66" s="132"/>
      <c r="C66" s="132"/>
      <c r="D66" s="132"/>
      <c r="E66" s="132"/>
      <c r="F66" s="119" t="s">
        <v>9</v>
      </c>
      <c r="G66" s="119" t="s">
        <v>37</v>
      </c>
      <c r="H66" s="119" t="s">
        <v>29</v>
      </c>
      <c r="I66" s="119" t="s">
        <v>30</v>
      </c>
      <c r="J66" s="119" t="s">
        <v>33</v>
      </c>
      <c r="K66" s="119" t="s">
        <v>34</v>
      </c>
    </row>
    <row r="67" spans="1:11" x14ac:dyDescent="0.4">
      <c r="A67" s="118" t="s">
        <v>102</v>
      </c>
      <c r="B67" s="117" t="s">
        <v>12</v>
      </c>
      <c r="C67" s="132"/>
      <c r="D67" s="132"/>
      <c r="E67" s="132"/>
      <c r="F67" s="471"/>
      <c r="G67" s="471"/>
      <c r="H67" s="471"/>
      <c r="I67" s="472"/>
      <c r="J67" s="471"/>
      <c r="K67" s="472"/>
    </row>
    <row r="68" spans="1:11" x14ac:dyDescent="0.4">
      <c r="A68" s="133" t="s">
        <v>103</v>
      </c>
      <c r="B68" s="132" t="s">
        <v>52</v>
      </c>
      <c r="C68" s="132"/>
      <c r="D68" s="132"/>
      <c r="E68" s="132"/>
      <c r="F68" s="326">
        <v>0</v>
      </c>
      <c r="G68" s="326">
        <v>0</v>
      </c>
      <c r="H68" s="354">
        <v>27060</v>
      </c>
      <c r="I68" s="354">
        <v>0</v>
      </c>
      <c r="J68" s="354">
        <v>0</v>
      </c>
      <c r="K68" s="354">
        <v>27060</v>
      </c>
    </row>
    <row r="69" spans="1:11" x14ac:dyDescent="0.4">
      <c r="A69" s="133" t="s">
        <v>104</v>
      </c>
      <c r="B69" s="132" t="s">
        <v>53</v>
      </c>
      <c r="C69" s="132"/>
      <c r="D69" s="132"/>
      <c r="E69" s="132"/>
      <c r="F69" s="326">
        <v>20</v>
      </c>
      <c r="G69" s="326">
        <v>0</v>
      </c>
      <c r="H69" s="354">
        <v>4108</v>
      </c>
      <c r="I69" s="354">
        <v>0</v>
      </c>
      <c r="J69" s="354">
        <v>0</v>
      </c>
      <c r="K69" s="354">
        <v>4108</v>
      </c>
    </row>
    <row r="70" spans="1:11" x14ac:dyDescent="0.4">
      <c r="A70" s="133" t="s">
        <v>178</v>
      </c>
      <c r="B70" s="473"/>
      <c r="C70" s="474"/>
      <c r="D70" s="475"/>
      <c r="E70" s="117"/>
      <c r="F70" s="326"/>
      <c r="G70" s="326"/>
      <c r="H70" s="354"/>
      <c r="I70" s="354"/>
      <c r="J70" s="354"/>
      <c r="K70" s="354"/>
    </row>
    <row r="71" spans="1:11" x14ac:dyDescent="0.4">
      <c r="A71" s="133" t="s">
        <v>179</v>
      </c>
      <c r="B71" s="473"/>
      <c r="C71" s="474"/>
      <c r="D71" s="475"/>
      <c r="E71" s="117"/>
      <c r="F71" s="91"/>
      <c r="G71" s="91"/>
      <c r="H71" s="85"/>
      <c r="I71" s="130"/>
      <c r="J71" s="85"/>
      <c r="K71" s="328"/>
    </row>
    <row r="72" spans="1:11" x14ac:dyDescent="0.4">
      <c r="A72" s="133" t="s">
        <v>180</v>
      </c>
      <c r="B72" s="476"/>
      <c r="C72" s="477"/>
      <c r="D72" s="478"/>
      <c r="E72" s="117"/>
      <c r="F72" s="326"/>
      <c r="G72" s="326"/>
      <c r="H72" s="327"/>
      <c r="I72" s="130"/>
      <c r="J72" s="327"/>
      <c r="K72" s="328"/>
    </row>
    <row r="73" spans="1:11" x14ac:dyDescent="0.4">
      <c r="A73" s="133"/>
      <c r="B73" s="132"/>
      <c r="C73" s="132"/>
      <c r="D73" s="132"/>
      <c r="E73" s="117"/>
      <c r="F73" s="479"/>
      <c r="G73" s="479"/>
      <c r="H73" s="480"/>
      <c r="I73" s="472"/>
      <c r="J73" s="480"/>
      <c r="K73" s="472"/>
    </row>
    <row r="74" spans="1:11" x14ac:dyDescent="0.4">
      <c r="A74" s="118" t="s">
        <v>146</v>
      </c>
      <c r="B74" s="117" t="s">
        <v>147</v>
      </c>
      <c r="C74" s="132"/>
      <c r="D74" s="132"/>
      <c r="E74" s="117" t="s">
        <v>7</v>
      </c>
      <c r="F74" s="329">
        <v>20</v>
      </c>
      <c r="G74" s="329">
        <v>0</v>
      </c>
      <c r="H74" s="527">
        <v>31168</v>
      </c>
      <c r="I74" s="527">
        <v>0</v>
      </c>
      <c r="J74" s="527">
        <v>0</v>
      </c>
      <c r="K74" s="355">
        <v>31168</v>
      </c>
    </row>
    <row r="75" spans="1:11" ht="41.25" customHeight="1" x14ac:dyDescent="0.4">
      <c r="A75" s="132"/>
      <c r="B75" s="132"/>
      <c r="C75" s="132"/>
      <c r="D75" s="132"/>
      <c r="E75" s="132"/>
      <c r="F75" s="119" t="s">
        <v>9</v>
      </c>
      <c r="G75" s="119" t="s">
        <v>37</v>
      </c>
      <c r="H75" s="119" t="s">
        <v>29</v>
      </c>
      <c r="I75" s="119" t="s">
        <v>30</v>
      </c>
      <c r="J75" s="119" t="s">
        <v>33</v>
      </c>
      <c r="K75" s="119" t="s">
        <v>34</v>
      </c>
    </row>
    <row r="76" spans="1:11" x14ac:dyDescent="0.4">
      <c r="A76" s="118" t="s">
        <v>105</v>
      </c>
      <c r="B76" s="117" t="s">
        <v>106</v>
      </c>
      <c r="C76" s="132"/>
      <c r="D76" s="132"/>
      <c r="E76" s="132"/>
      <c r="F76" s="132"/>
      <c r="G76" s="132"/>
      <c r="H76" s="132"/>
      <c r="I76" s="132"/>
      <c r="J76" s="132"/>
      <c r="K76" s="132"/>
    </row>
    <row r="77" spans="1:11" x14ac:dyDescent="0.4">
      <c r="A77" s="133" t="s">
        <v>107</v>
      </c>
      <c r="B77" s="132" t="s">
        <v>54</v>
      </c>
      <c r="C77" s="132"/>
      <c r="D77" s="132"/>
      <c r="E77" s="132"/>
      <c r="F77" s="326">
        <v>119</v>
      </c>
      <c r="G77" s="326">
        <v>44</v>
      </c>
      <c r="H77" s="354">
        <v>234819</v>
      </c>
      <c r="I77" s="354">
        <v>0</v>
      </c>
      <c r="J77" s="354">
        <v>0</v>
      </c>
      <c r="K77" s="354">
        <v>234819</v>
      </c>
    </row>
    <row r="78" spans="1:11" x14ac:dyDescent="0.4">
      <c r="A78" s="133" t="s">
        <v>108</v>
      </c>
      <c r="B78" s="132" t="s">
        <v>55</v>
      </c>
      <c r="C78" s="132"/>
      <c r="D78" s="132"/>
      <c r="E78" s="132"/>
      <c r="F78" s="326">
        <v>0</v>
      </c>
      <c r="G78" s="326">
        <v>0</v>
      </c>
      <c r="H78" s="354">
        <v>0</v>
      </c>
      <c r="I78" s="354">
        <v>0</v>
      </c>
      <c r="J78" s="354">
        <v>0</v>
      </c>
      <c r="K78" s="354">
        <v>0</v>
      </c>
    </row>
    <row r="79" spans="1:11" x14ac:dyDescent="0.4">
      <c r="A79" s="133" t="s">
        <v>109</v>
      </c>
      <c r="B79" s="132" t="s">
        <v>13</v>
      </c>
      <c r="C79" s="132"/>
      <c r="D79" s="132"/>
      <c r="E79" s="132"/>
      <c r="F79" s="326">
        <v>2990.5</v>
      </c>
      <c r="G79" s="326">
        <v>53266</v>
      </c>
      <c r="H79" s="354">
        <v>588980</v>
      </c>
      <c r="I79" s="354">
        <v>0</v>
      </c>
      <c r="J79" s="354">
        <v>0</v>
      </c>
      <c r="K79" s="354">
        <v>588980</v>
      </c>
    </row>
    <row r="80" spans="1:11" x14ac:dyDescent="0.4">
      <c r="A80" s="133" t="s">
        <v>110</v>
      </c>
      <c r="B80" s="132" t="s">
        <v>56</v>
      </c>
      <c r="C80" s="132"/>
      <c r="D80" s="132"/>
      <c r="E80" s="132"/>
      <c r="F80" s="326">
        <v>0</v>
      </c>
      <c r="G80" s="326">
        <v>0</v>
      </c>
      <c r="H80" s="327">
        <v>0</v>
      </c>
      <c r="I80" s="130">
        <v>0</v>
      </c>
      <c r="J80" s="327">
        <v>0</v>
      </c>
      <c r="K80" s="327">
        <v>0</v>
      </c>
    </row>
    <row r="81" spans="1:11" x14ac:dyDescent="0.4">
      <c r="A81" s="133"/>
      <c r="B81" s="132"/>
      <c r="C81" s="132"/>
      <c r="D81" s="132"/>
      <c r="E81" s="132"/>
      <c r="F81" s="132"/>
      <c r="G81" s="132"/>
      <c r="H81" s="132"/>
      <c r="I81" s="132"/>
      <c r="J81" s="132"/>
      <c r="K81" s="330"/>
    </row>
    <row r="82" spans="1:11" x14ac:dyDescent="0.4">
      <c r="A82" s="133" t="s">
        <v>148</v>
      </c>
      <c r="B82" s="117" t="s">
        <v>149</v>
      </c>
      <c r="C82" s="132"/>
      <c r="D82" s="132"/>
      <c r="E82" s="117" t="s">
        <v>7</v>
      </c>
      <c r="F82" s="329">
        <v>3109.5</v>
      </c>
      <c r="G82" s="329">
        <v>53310</v>
      </c>
      <c r="H82" s="355">
        <v>823799</v>
      </c>
      <c r="I82" s="355">
        <v>0</v>
      </c>
      <c r="J82" s="355">
        <v>0</v>
      </c>
      <c r="K82" s="355">
        <v>823799</v>
      </c>
    </row>
    <row r="83" spans="1:11" ht="12.6" thickBot="1" x14ac:dyDescent="0.45">
      <c r="A83" s="133"/>
      <c r="B83" s="132"/>
      <c r="C83" s="132"/>
      <c r="D83" s="132"/>
      <c r="E83" s="132"/>
      <c r="F83" s="123"/>
      <c r="G83" s="123"/>
      <c r="H83" s="123"/>
      <c r="I83" s="123"/>
      <c r="J83" s="123"/>
      <c r="K83" s="123"/>
    </row>
    <row r="84" spans="1:11" ht="45.75" customHeight="1" x14ac:dyDescent="0.4">
      <c r="A84" s="132"/>
      <c r="B84" s="132"/>
      <c r="C84" s="132"/>
      <c r="D84" s="132"/>
      <c r="E84" s="132"/>
      <c r="F84" s="119" t="s">
        <v>9</v>
      </c>
      <c r="G84" s="119" t="s">
        <v>37</v>
      </c>
      <c r="H84" s="119" t="s">
        <v>29</v>
      </c>
      <c r="I84" s="119" t="s">
        <v>30</v>
      </c>
      <c r="J84" s="119" t="s">
        <v>33</v>
      </c>
      <c r="K84" s="119" t="s">
        <v>34</v>
      </c>
    </row>
    <row r="85" spans="1:11" x14ac:dyDescent="0.4">
      <c r="A85" s="118" t="s">
        <v>111</v>
      </c>
      <c r="B85" s="117" t="s">
        <v>57</v>
      </c>
      <c r="C85" s="132"/>
      <c r="D85" s="132"/>
      <c r="E85" s="132"/>
      <c r="F85" s="132"/>
      <c r="G85" s="132"/>
      <c r="H85" s="132"/>
      <c r="I85" s="132"/>
      <c r="J85" s="132"/>
      <c r="K85" s="132"/>
    </row>
    <row r="86" spans="1:11" x14ac:dyDescent="0.4">
      <c r="A86" s="133" t="s">
        <v>112</v>
      </c>
      <c r="B86" s="132" t="s">
        <v>113</v>
      </c>
      <c r="C86" s="132"/>
      <c r="D86" s="132"/>
      <c r="E86" s="132"/>
      <c r="F86" s="326">
        <v>424.5</v>
      </c>
      <c r="G86" s="326">
        <v>577</v>
      </c>
      <c r="H86" s="357">
        <v>52566</v>
      </c>
      <c r="I86" s="357">
        <v>23781</v>
      </c>
      <c r="J86" s="357">
        <v>0</v>
      </c>
      <c r="K86" s="357">
        <v>76347</v>
      </c>
    </row>
    <row r="87" spans="1:11" x14ac:dyDescent="0.4">
      <c r="A87" s="133" t="s">
        <v>114</v>
      </c>
      <c r="B87" s="132" t="s">
        <v>14</v>
      </c>
      <c r="C87" s="132"/>
      <c r="D87" s="132"/>
      <c r="E87" s="132"/>
      <c r="F87" s="326">
        <v>0</v>
      </c>
      <c r="G87" s="326">
        <v>0</v>
      </c>
      <c r="H87" s="357">
        <v>0</v>
      </c>
      <c r="I87" s="238">
        <v>0</v>
      </c>
      <c r="J87" s="357">
        <v>0</v>
      </c>
      <c r="K87" s="357">
        <v>0</v>
      </c>
    </row>
    <row r="88" spans="1:11" x14ac:dyDescent="0.4">
      <c r="A88" s="133" t="s">
        <v>115</v>
      </c>
      <c r="B88" s="132" t="s">
        <v>116</v>
      </c>
      <c r="C88" s="132"/>
      <c r="D88" s="132"/>
      <c r="E88" s="132"/>
      <c r="F88" s="326">
        <v>136</v>
      </c>
      <c r="G88" s="326">
        <v>11</v>
      </c>
      <c r="H88" s="357">
        <v>67301</v>
      </c>
      <c r="I88" s="357">
        <v>13657</v>
      </c>
      <c r="J88" s="357">
        <v>0</v>
      </c>
      <c r="K88" s="357">
        <v>80958</v>
      </c>
    </row>
    <row r="89" spans="1:11" x14ac:dyDescent="0.4">
      <c r="A89" s="133" t="s">
        <v>117</v>
      </c>
      <c r="B89" s="132" t="s">
        <v>58</v>
      </c>
      <c r="C89" s="132"/>
      <c r="D89" s="132"/>
      <c r="E89" s="132"/>
      <c r="F89" s="326">
        <v>0</v>
      </c>
      <c r="G89" s="326">
        <v>0</v>
      </c>
      <c r="H89" s="357">
        <v>0</v>
      </c>
      <c r="I89" s="238">
        <v>0</v>
      </c>
      <c r="J89" s="357">
        <v>0</v>
      </c>
      <c r="K89" s="357">
        <v>0</v>
      </c>
    </row>
    <row r="90" spans="1:11" x14ac:dyDescent="0.4">
      <c r="A90" s="133" t="s">
        <v>118</v>
      </c>
      <c r="B90" s="711" t="s">
        <v>59</v>
      </c>
      <c r="C90" s="711"/>
      <c r="D90" s="132"/>
      <c r="E90" s="132"/>
      <c r="F90" s="326">
        <v>0</v>
      </c>
      <c r="G90" s="326">
        <v>0</v>
      </c>
      <c r="H90" s="357">
        <v>0</v>
      </c>
      <c r="I90" s="238">
        <v>0</v>
      </c>
      <c r="J90" s="357">
        <v>0</v>
      </c>
      <c r="K90" s="357">
        <v>0</v>
      </c>
    </row>
    <row r="91" spans="1:11" x14ac:dyDescent="0.4">
      <c r="A91" s="133" t="s">
        <v>119</v>
      </c>
      <c r="B91" s="132" t="s">
        <v>60</v>
      </c>
      <c r="C91" s="132"/>
      <c r="D91" s="132"/>
      <c r="E91" s="132"/>
      <c r="F91" s="326">
        <v>0</v>
      </c>
      <c r="G91" s="326">
        <v>0</v>
      </c>
      <c r="H91" s="357">
        <v>0</v>
      </c>
      <c r="I91" s="357">
        <v>0</v>
      </c>
      <c r="J91" s="357">
        <v>0</v>
      </c>
      <c r="K91" s="357">
        <v>0</v>
      </c>
    </row>
    <row r="92" spans="1:11" x14ac:dyDescent="0.4">
      <c r="A92" s="133" t="s">
        <v>120</v>
      </c>
      <c r="B92" s="132" t="s">
        <v>121</v>
      </c>
      <c r="C92" s="132"/>
      <c r="D92" s="132"/>
      <c r="E92" s="132"/>
      <c r="F92" s="326">
        <v>0</v>
      </c>
      <c r="G92" s="326">
        <v>0</v>
      </c>
      <c r="H92" s="357">
        <v>0</v>
      </c>
      <c r="I92" s="238">
        <v>0</v>
      </c>
      <c r="J92" s="357">
        <v>0</v>
      </c>
      <c r="K92" s="357">
        <v>0</v>
      </c>
    </row>
    <row r="93" spans="1:11" x14ac:dyDescent="0.4">
      <c r="A93" s="133" t="s">
        <v>122</v>
      </c>
      <c r="B93" s="132" t="s">
        <v>123</v>
      </c>
      <c r="C93" s="132"/>
      <c r="D93" s="132"/>
      <c r="E93" s="132"/>
      <c r="F93" s="326">
        <v>890</v>
      </c>
      <c r="G93" s="326">
        <v>31</v>
      </c>
      <c r="H93" s="357">
        <v>607578</v>
      </c>
      <c r="I93" s="357">
        <v>383381</v>
      </c>
      <c r="J93" s="357">
        <v>0</v>
      </c>
      <c r="K93" s="357">
        <v>990959</v>
      </c>
    </row>
    <row r="94" spans="1:11" x14ac:dyDescent="0.4">
      <c r="A94" s="133" t="s">
        <v>124</v>
      </c>
      <c r="B94" s="701"/>
      <c r="C94" s="702"/>
      <c r="D94" s="703"/>
      <c r="E94" s="132"/>
      <c r="F94" s="326"/>
      <c r="G94" s="326"/>
      <c r="H94" s="327"/>
      <c r="I94" s="130"/>
      <c r="J94" s="327"/>
      <c r="K94" s="328"/>
    </row>
    <row r="95" spans="1:11" x14ac:dyDescent="0.4">
      <c r="A95" s="133" t="s">
        <v>125</v>
      </c>
      <c r="B95" s="701"/>
      <c r="C95" s="702"/>
      <c r="D95" s="703"/>
      <c r="E95" s="132"/>
      <c r="F95" s="326"/>
      <c r="G95" s="326"/>
      <c r="H95" s="327"/>
      <c r="I95" s="130"/>
      <c r="J95" s="327"/>
      <c r="K95" s="328"/>
    </row>
    <row r="96" spans="1:11" x14ac:dyDescent="0.4">
      <c r="A96" s="133" t="s">
        <v>126</v>
      </c>
      <c r="B96" s="701"/>
      <c r="C96" s="702"/>
      <c r="D96" s="703"/>
      <c r="E96" s="132"/>
      <c r="F96" s="326"/>
      <c r="G96" s="326"/>
      <c r="H96" s="327"/>
      <c r="I96" s="130"/>
      <c r="J96" s="327"/>
      <c r="K96" s="328"/>
    </row>
    <row r="97" spans="1:11" x14ac:dyDescent="0.4">
      <c r="A97" s="133"/>
      <c r="B97" s="132"/>
      <c r="C97" s="132"/>
      <c r="D97" s="132"/>
      <c r="E97" s="132"/>
      <c r="F97" s="132"/>
      <c r="G97" s="132"/>
      <c r="H97" s="132"/>
      <c r="I97" s="132"/>
      <c r="J97" s="132"/>
      <c r="K97" s="132"/>
    </row>
    <row r="98" spans="1:11" x14ac:dyDescent="0.4">
      <c r="A98" s="118" t="s">
        <v>150</v>
      </c>
      <c r="B98" s="117" t="s">
        <v>151</v>
      </c>
      <c r="C98" s="132"/>
      <c r="D98" s="132"/>
      <c r="E98" s="117" t="s">
        <v>7</v>
      </c>
      <c r="F98" s="329">
        <v>1450.5</v>
      </c>
      <c r="G98" s="329">
        <v>619</v>
      </c>
      <c r="H98" s="358">
        <v>727445</v>
      </c>
      <c r="I98" s="358">
        <v>420819</v>
      </c>
      <c r="J98" s="358">
        <v>0</v>
      </c>
      <c r="K98" s="358">
        <v>1148264</v>
      </c>
    </row>
    <row r="99" spans="1:11" ht="12.6" thickBot="1" x14ac:dyDescent="0.45">
      <c r="A99" s="132"/>
      <c r="B99" s="117"/>
      <c r="C99" s="132"/>
      <c r="D99" s="132"/>
      <c r="E99" s="132"/>
      <c r="F99" s="123"/>
      <c r="G99" s="123"/>
      <c r="H99" s="123"/>
      <c r="I99" s="123"/>
      <c r="J99" s="123"/>
      <c r="K99" s="123"/>
    </row>
    <row r="100" spans="1:11" ht="24.6" x14ac:dyDescent="0.4">
      <c r="A100" s="132"/>
      <c r="B100" s="132"/>
      <c r="C100" s="132"/>
      <c r="D100" s="132"/>
      <c r="E100" s="132"/>
      <c r="F100" s="119" t="s">
        <v>9</v>
      </c>
      <c r="G100" s="119" t="s">
        <v>37</v>
      </c>
      <c r="H100" s="119" t="s">
        <v>29</v>
      </c>
      <c r="I100" s="119" t="s">
        <v>30</v>
      </c>
      <c r="J100" s="119" t="s">
        <v>33</v>
      </c>
      <c r="K100" s="119" t="s">
        <v>34</v>
      </c>
    </row>
    <row r="101" spans="1:11" x14ac:dyDescent="0.4">
      <c r="A101" s="118" t="s">
        <v>130</v>
      </c>
      <c r="B101" s="117" t="s">
        <v>63</v>
      </c>
      <c r="C101" s="132"/>
      <c r="D101" s="132"/>
      <c r="E101" s="132"/>
      <c r="F101" s="132"/>
      <c r="G101" s="132"/>
      <c r="H101" s="132"/>
      <c r="I101" s="132"/>
      <c r="J101" s="132"/>
      <c r="K101" s="132"/>
    </row>
    <row r="102" spans="1:11" x14ac:dyDescent="0.4">
      <c r="A102" s="133" t="s">
        <v>131</v>
      </c>
      <c r="B102" s="132" t="s">
        <v>152</v>
      </c>
      <c r="C102" s="132"/>
      <c r="D102" s="132"/>
      <c r="E102" s="132"/>
      <c r="F102" s="326">
        <v>463</v>
      </c>
      <c r="G102" s="326">
        <v>368</v>
      </c>
      <c r="H102" s="354">
        <v>198454</v>
      </c>
      <c r="I102" s="354">
        <v>125225</v>
      </c>
      <c r="J102" s="354">
        <v>0</v>
      </c>
      <c r="K102" s="354">
        <v>323679</v>
      </c>
    </row>
    <row r="103" spans="1:11" x14ac:dyDescent="0.4">
      <c r="A103" s="133" t="s">
        <v>132</v>
      </c>
      <c r="B103" s="777" t="s">
        <v>62</v>
      </c>
      <c r="C103" s="777"/>
      <c r="D103" s="132"/>
      <c r="E103" s="132"/>
      <c r="F103" s="326">
        <v>75</v>
      </c>
      <c r="G103" s="326">
        <v>43</v>
      </c>
      <c r="H103" s="354">
        <v>5544</v>
      </c>
      <c r="I103" s="354">
        <v>3498</v>
      </c>
      <c r="J103" s="354">
        <v>0</v>
      </c>
      <c r="K103" s="354">
        <v>9042</v>
      </c>
    </row>
    <row r="104" spans="1:11" x14ac:dyDescent="0.4">
      <c r="A104" s="133" t="s">
        <v>128</v>
      </c>
      <c r="B104" s="701"/>
      <c r="C104" s="702"/>
      <c r="D104" s="703"/>
      <c r="E104" s="132"/>
      <c r="F104" s="326"/>
      <c r="G104" s="326"/>
      <c r="H104" s="327"/>
      <c r="I104" s="130"/>
      <c r="J104" s="327"/>
      <c r="K104" s="328"/>
    </row>
    <row r="105" spans="1:11" x14ac:dyDescent="0.4">
      <c r="A105" s="133" t="s">
        <v>127</v>
      </c>
      <c r="B105" s="701"/>
      <c r="C105" s="702"/>
      <c r="D105" s="703"/>
      <c r="E105" s="132"/>
      <c r="F105" s="326"/>
      <c r="G105" s="326"/>
      <c r="H105" s="327"/>
      <c r="I105" s="130"/>
      <c r="J105" s="327"/>
      <c r="K105" s="328"/>
    </row>
    <row r="106" spans="1:11" x14ac:dyDescent="0.4">
      <c r="A106" s="133" t="s">
        <v>129</v>
      </c>
      <c r="B106" s="701"/>
      <c r="C106" s="702"/>
      <c r="D106" s="703"/>
      <c r="E106" s="132"/>
      <c r="F106" s="326"/>
      <c r="G106" s="326"/>
      <c r="H106" s="327"/>
      <c r="I106" s="130"/>
      <c r="J106" s="327"/>
      <c r="K106" s="328"/>
    </row>
    <row r="107" spans="1:11" x14ac:dyDescent="0.4">
      <c r="A107" s="132"/>
      <c r="B107" s="117"/>
      <c r="C107" s="132"/>
      <c r="D107" s="132"/>
      <c r="E107" s="132"/>
      <c r="F107" s="132"/>
      <c r="G107" s="132"/>
      <c r="H107" s="132"/>
      <c r="I107" s="132"/>
      <c r="J107" s="132"/>
      <c r="K107" s="132"/>
    </row>
    <row r="108" spans="1:11" x14ac:dyDescent="0.4">
      <c r="A108" s="118" t="s">
        <v>153</v>
      </c>
      <c r="B108" s="117" t="s">
        <v>154</v>
      </c>
      <c r="C108" s="132"/>
      <c r="D108" s="132"/>
      <c r="E108" s="117" t="s">
        <v>7</v>
      </c>
      <c r="F108" s="329">
        <v>538</v>
      </c>
      <c r="G108" s="329">
        <v>411</v>
      </c>
      <c r="H108" s="355">
        <v>203998</v>
      </c>
      <c r="I108" s="355">
        <v>128723</v>
      </c>
      <c r="J108" s="355">
        <v>0</v>
      </c>
      <c r="K108" s="355">
        <v>332721</v>
      </c>
    </row>
    <row r="109" spans="1:11" ht="12.6" thickBot="1" x14ac:dyDescent="0.45">
      <c r="A109" s="120"/>
      <c r="B109" s="121"/>
      <c r="C109" s="122"/>
      <c r="D109" s="122"/>
      <c r="E109" s="122"/>
      <c r="F109" s="123"/>
      <c r="G109" s="123"/>
      <c r="H109" s="123"/>
      <c r="I109" s="123"/>
      <c r="J109" s="123"/>
      <c r="K109" s="123"/>
    </row>
    <row r="110" spans="1:11" x14ac:dyDescent="0.4">
      <c r="A110" s="118" t="s">
        <v>156</v>
      </c>
      <c r="B110" s="117" t="s">
        <v>39</v>
      </c>
      <c r="C110" s="132"/>
      <c r="D110" s="132"/>
      <c r="E110" s="132"/>
      <c r="F110" s="132"/>
      <c r="G110" s="132"/>
      <c r="H110" s="132"/>
      <c r="I110" s="132"/>
      <c r="J110" s="132"/>
      <c r="K110" s="132"/>
    </row>
    <row r="111" spans="1:11" x14ac:dyDescent="0.4">
      <c r="A111" s="118" t="s">
        <v>155</v>
      </c>
      <c r="B111" s="117" t="s">
        <v>164</v>
      </c>
      <c r="C111" s="132"/>
      <c r="D111" s="132"/>
      <c r="E111" s="117" t="s">
        <v>7</v>
      </c>
      <c r="F111" s="358">
        <v>21680000</v>
      </c>
      <c r="G111" s="132"/>
      <c r="H111" s="132"/>
      <c r="I111" s="132"/>
      <c r="J111" s="132"/>
      <c r="K111" s="132"/>
    </row>
    <row r="112" spans="1:11" x14ac:dyDescent="0.4">
      <c r="A112" s="132"/>
      <c r="B112" s="117"/>
      <c r="C112" s="132"/>
      <c r="D112" s="132"/>
      <c r="E112" s="117"/>
      <c r="F112" s="132"/>
      <c r="G112" s="132"/>
      <c r="H112" s="132"/>
      <c r="I112" s="132"/>
      <c r="J112" s="132"/>
      <c r="K112" s="132"/>
    </row>
    <row r="113" spans="1:6" x14ac:dyDescent="0.4">
      <c r="A113" s="118" t="s">
        <v>170</v>
      </c>
      <c r="B113" s="117" t="s">
        <v>15</v>
      </c>
      <c r="C113" s="132"/>
      <c r="D113" s="132"/>
      <c r="E113" s="132"/>
      <c r="F113" s="132"/>
    </row>
    <row r="114" spans="1:6" x14ac:dyDescent="0.4">
      <c r="A114" s="133" t="s">
        <v>171</v>
      </c>
      <c r="B114" s="132" t="s">
        <v>35</v>
      </c>
      <c r="C114" s="132"/>
      <c r="D114" s="132"/>
      <c r="E114" s="132"/>
      <c r="F114" s="359">
        <v>0.63109999999999999</v>
      </c>
    </row>
    <row r="115" spans="1:6" x14ac:dyDescent="0.4">
      <c r="A115" s="133"/>
      <c r="B115" s="117"/>
      <c r="C115" s="132"/>
      <c r="D115" s="132"/>
      <c r="E115" s="132"/>
      <c r="F115" s="132"/>
    </row>
    <row r="116" spans="1:6" x14ac:dyDescent="0.4">
      <c r="A116" s="133"/>
      <c r="B116" s="117" t="s">
        <v>16</v>
      </c>
      <c r="C116" s="132"/>
      <c r="D116" s="132"/>
      <c r="E116" s="132"/>
      <c r="F116" s="132"/>
    </row>
    <row r="117" spans="1:6" x14ac:dyDescent="0.4">
      <c r="A117" s="133" t="s">
        <v>172</v>
      </c>
      <c r="B117" s="132" t="s">
        <v>17</v>
      </c>
      <c r="C117" s="132"/>
      <c r="D117" s="132"/>
      <c r="E117" s="132"/>
      <c r="F117" s="358">
        <v>565111000</v>
      </c>
    </row>
    <row r="118" spans="1:6" x14ac:dyDescent="0.4">
      <c r="A118" s="133" t="s">
        <v>173</v>
      </c>
      <c r="B118" s="132" t="s">
        <v>18</v>
      </c>
      <c r="C118" s="132"/>
      <c r="D118" s="132"/>
      <c r="E118" s="132"/>
      <c r="F118" s="358">
        <v>103939000</v>
      </c>
    </row>
    <row r="119" spans="1:6" x14ac:dyDescent="0.4">
      <c r="A119" s="133" t="s">
        <v>174</v>
      </c>
      <c r="B119" s="117" t="s">
        <v>19</v>
      </c>
      <c r="C119" s="132"/>
      <c r="D119" s="132"/>
      <c r="E119" s="132"/>
      <c r="F119" s="355">
        <v>669050000</v>
      </c>
    </row>
    <row r="120" spans="1:6" x14ac:dyDescent="0.4">
      <c r="A120" s="133"/>
      <c r="B120" s="117"/>
      <c r="C120" s="132"/>
      <c r="D120" s="132"/>
      <c r="E120" s="132"/>
      <c r="F120" s="92"/>
    </row>
    <row r="121" spans="1:6" x14ac:dyDescent="0.4">
      <c r="A121" s="133" t="s">
        <v>167</v>
      </c>
      <c r="B121" s="117" t="s">
        <v>36</v>
      </c>
      <c r="C121" s="132"/>
      <c r="D121" s="132"/>
      <c r="E121" s="132"/>
      <c r="F121" s="358">
        <v>671878000</v>
      </c>
    </row>
    <row r="122" spans="1:6" x14ac:dyDescent="0.4">
      <c r="A122" s="133"/>
      <c r="B122" s="132"/>
      <c r="C122" s="132"/>
      <c r="D122" s="132"/>
      <c r="E122" s="132"/>
      <c r="F122" s="92"/>
    </row>
    <row r="123" spans="1:6" x14ac:dyDescent="0.4">
      <c r="A123" s="133" t="s">
        <v>175</v>
      </c>
      <c r="B123" s="117" t="s">
        <v>20</v>
      </c>
      <c r="C123" s="132"/>
      <c r="D123" s="132"/>
      <c r="E123" s="132"/>
      <c r="F123" s="358">
        <v>-2828000</v>
      </c>
    </row>
    <row r="124" spans="1:6" x14ac:dyDescent="0.4">
      <c r="A124" s="133"/>
      <c r="B124" s="132"/>
      <c r="C124" s="132"/>
      <c r="D124" s="132"/>
      <c r="E124" s="132"/>
      <c r="F124" s="92"/>
    </row>
    <row r="125" spans="1:6" x14ac:dyDescent="0.4">
      <c r="A125" s="133" t="s">
        <v>176</v>
      </c>
      <c r="B125" s="117" t="s">
        <v>21</v>
      </c>
      <c r="C125" s="132"/>
      <c r="D125" s="132"/>
      <c r="E125" s="132"/>
      <c r="F125" s="358">
        <v>-6964000</v>
      </c>
    </row>
    <row r="126" spans="1:6" x14ac:dyDescent="0.4">
      <c r="A126" s="133"/>
      <c r="B126" s="132"/>
      <c r="C126" s="132"/>
      <c r="D126" s="132"/>
      <c r="E126" s="132"/>
      <c r="F126" s="92"/>
    </row>
    <row r="127" spans="1:6" x14ac:dyDescent="0.4">
      <c r="A127" s="133" t="s">
        <v>177</v>
      </c>
      <c r="B127" s="117" t="s">
        <v>22</v>
      </c>
      <c r="C127" s="132"/>
      <c r="D127" s="132"/>
      <c r="E127" s="132"/>
      <c r="F127" s="358">
        <v>-9792000</v>
      </c>
    </row>
    <row r="128" spans="1:6" x14ac:dyDescent="0.4">
      <c r="A128" s="133"/>
      <c r="B128" s="132"/>
      <c r="C128" s="132"/>
      <c r="D128" s="132"/>
      <c r="E128" s="132"/>
      <c r="F128" s="132"/>
    </row>
    <row r="129" spans="1:11" ht="24.6" x14ac:dyDescent="0.4">
      <c r="A129" s="132"/>
      <c r="B129" s="132"/>
      <c r="C129" s="132"/>
      <c r="D129" s="132"/>
      <c r="E129" s="132"/>
      <c r="F129" s="119" t="s">
        <v>9</v>
      </c>
      <c r="G129" s="119" t="s">
        <v>37</v>
      </c>
      <c r="H129" s="119" t="s">
        <v>29</v>
      </c>
      <c r="I129" s="119" t="s">
        <v>30</v>
      </c>
      <c r="J129" s="119" t="s">
        <v>33</v>
      </c>
      <c r="K129" s="119" t="s">
        <v>34</v>
      </c>
    </row>
    <row r="130" spans="1:11" x14ac:dyDescent="0.4">
      <c r="A130" s="118" t="s">
        <v>157</v>
      </c>
      <c r="B130" s="117" t="s">
        <v>23</v>
      </c>
      <c r="C130" s="132"/>
      <c r="D130" s="132"/>
      <c r="E130" s="132"/>
      <c r="F130" s="132"/>
      <c r="G130" s="132"/>
      <c r="H130" s="132"/>
      <c r="I130" s="132"/>
      <c r="J130" s="132"/>
      <c r="K130" s="132"/>
    </row>
    <row r="131" spans="1:11" x14ac:dyDescent="0.4">
      <c r="A131" s="133" t="s">
        <v>158</v>
      </c>
      <c r="B131" s="132" t="s">
        <v>24</v>
      </c>
      <c r="C131" s="132"/>
      <c r="D131" s="132"/>
      <c r="E131" s="132"/>
      <c r="F131" s="326"/>
      <c r="G131" s="326"/>
      <c r="H131" s="327"/>
      <c r="I131" s="130">
        <v>0</v>
      </c>
      <c r="J131" s="327"/>
      <c r="K131" s="328">
        <v>0</v>
      </c>
    </row>
    <row r="132" spans="1:11" x14ac:dyDescent="0.4">
      <c r="A132" s="133" t="s">
        <v>159</v>
      </c>
      <c r="B132" s="132" t="s">
        <v>25</v>
      </c>
      <c r="C132" s="132"/>
      <c r="D132" s="132"/>
      <c r="E132" s="132"/>
      <c r="F132" s="326"/>
      <c r="G132" s="326"/>
      <c r="H132" s="327"/>
      <c r="I132" s="130">
        <v>0</v>
      </c>
      <c r="J132" s="327"/>
      <c r="K132" s="328">
        <v>0</v>
      </c>
    </row>
    <row r="133" spans="1:11" x14ac:dyDescent="0.4">
      <c r="A133" s="133" t="s">
        <v>160</v>
      </c>
      <c r="B133" s="696"/>
      <c r="C133" s="697"/>
      <c r="D133" s="698"/>
      <c r="E133" s="132"/>
      <c r="F133" s="326"/>
      <c r="G133" s="326"/>
      <c r="H133" s="327"/>
      <c r="I133" s="130">
        <v>0</v>
      </c>
      <c r="J133" s="327"/>
      <c r="K133" s="328">
        <v>0</v>
      </c>
    </row>
    <row r="134" spans="1:11" x14ac:dyDescent="0.4">
      <c r="A134" s="133" t="s">
        <v>161</v>
      </c>
      <c r="B134" s="696"/>
      <c r="C134" s="697"/>
      <c r="D134" s="698"/>
      <c r="E134" s="132"/>
      <c r="F134" s="326"/>
      <c r="G134" s="326"/>
      <c r="H134" s="327"/>
      <c r="I134" s="130">
        <v>0</v>
      </c>
      <c r="J134" s="327"/>
      <c r="K134" s="328">
        <v>0</v>
      </c>
    </row>
    <row r="135" spans="1:11" x14ac:dyDescent="0.4">
      <c r="A135" s="133" t="s">
        <v>162</v>
      </c>
      <c r="B135" s="696"/>
      <c r="C135" s="697"/>
      <c r="D135" s="698"/>
      <c r="E135" s="132"/>
      <c r="F135" s="326"/>
      <c r="G135" s="326"/>
      <c r="H135" s="327"/>
      <c r="I135" s="130">
        <v>0</v>
      </c>
      <c r="J135" s="327"/>
      <c r="K135" s="328">
        <v>0</v>
      </c>
    </row>
    <row r="136" spans="1:11" x14ac:dyDescent="0.4">
      <c r="A136" s="118"/>
      <c r="B136" s="132"/>
      <c r="C136" s="132"/>
      <c r="D136" s="132"/>
      <c r="E136" s="132"/>
      <c r="F136" s="132"/>
      <c r="G136" s="132"/>
      <c r="H136" s="132"/>
      <c r="I136" s="132"/>
      <c r="J136" s="132"/>
      <c r="K136" s="132"/>
    </row>
    <row r="137" spans="1:11" x14ac:dyDescent="0.4">
      <c r="A137" s="118" t="s">
        <v>163</v>
      </c>
      <c r="B137" s="117" t="s">
        <v>27</v>
      </c>
      <c r="C137" s="132"/>
      <c r="D137" s="132"/>
      <c r="E137" s="132"/>
      <c r="F137" s="329">
        <v>0</v>
      </c>
      <c r="G137" s="329">
        <v>0</v>
      </c>
      <c r="H137" s="328">
        <v>0</v>
      </c>
      <c r="I137" s="328">
        <v>0</v>
      </c>
      <c r="J137" s="328">
        <v>0</v>
      </c>
      <c r="K137" s="328">
        <v>0</v>
      </c>
    </row>
    <row r="138" spans="1:11" x14ac:dyDescent="0.4">
      <c r="A138" s="132"/>
      <c r="B138" s="132"/>
      <c r="C138" s="132"/>
      <c r="D138" s="132"/>
      <c r="E138" s="132"/>
      <c r="F138" s="132"/>
      <c r="G138" s="132"/>
      <c r="H138" s="132"/>
      <c r="I138" s="132"/>
      <c r="J138" s="132"/>
      <c r="K138" s="132"/>
    </row>
    <row r="139" spans="1:11" ht="24.6" x14ac:dyDescent="0.4">
      <c r="A139" s="132"/>
      <c r="B139" s="132"/>
      <c r="C139" s="132"/>
      <c r="D139" s="132"/>
      <c r="E139" s="132"/>
      <c r="F139" s="119" t="s">
        <v>9</v>
      </c>
      <c r="G139" s="119" t="s">
        <v>37</v>
      </c>
      <c r="H139" s="119" t="s">
        <v>29</v>
      </c>
      <c r="I139" s="119" t="s">
        <v>30</v>
      </c>
      <c r="J139" s="119" t="s">
        <v>33</v>
      </c>
      <c r="K139" s="119" t="s">
        <v>34</v>
      </c>
    </row>
    <row r="140" spans="1:11" x14ac:dyDescent="0.4">
      <c r="A140" s="118" t="s">
        <v>166</v>
      </c>
      <c r="B140" s="117" t="s">
        <v>26</v>
      </c>
      <c r="C140" s="132"/>
      <c r="D140" s="132"/>
      <c r="E140" s="132"/>
      <c r="F140" s="132"/>
      <c r="G140" s="132"/>
      <c r="H140" s="132"/>
      <c r="I140" s="132"/>
      <c r="J140" s="132"/>
      <c r="K140" s="132"/>
    </row>
    <row r="141" spans="1:11" x14ac:dyDescent="0.4">
      <c r="A141" s="133" t="s">
        <v>137</v>
      </c>
      <c r="B141" s="117" t="s">
        <v>64</v>
      </c>
      <c r="C141" s="132"/>
      <c r="D141" s="132"/>
      <c r="E141" s="132"/>
      <c r="F141" s="125">
        <v>44288.5</v>
      </c>
      <c r="G141" s="125">
        <v>203341</v>
      </c>
      <c r="H141" s="86">
        <v>7031753</v>
      </c>
      <c r="I141" s="86">
        <v>2323063</v>
      </c>
      <c r="J141" s="86">
        <v>190488</v>
      </c>
      <c r="K141" s="86">
        <v>9164328</v>
      </c>
    </row>
    <row r="142" spans="1:11" x14ac:dyDescent="0.4">
      <c r="A142" s="133" t="s">
        <v>142</v>
      </c>
      <c r="B142" s="117" t="s">
        <v>65</v>
      </c>
      <c r="C142" s="132"/>
      <c r="D142" s="132"/>
      <c r="E142" s="132"/>
      <c r="F142" s="125">
        <v>42443.45</v>
      </c>
      <c r="G142" s="125">
        <v>3142</v>
      </c>
      <c r="H142" s="86">
        <v>29049274</v>
      </c>
      <c r="I142" s="86">
        <v>18328995</v>
      </c>
      <c r="J142" s="86">
        <v>2403</v>
      </c>
      <c r="K142" s="86">
        <v>47375866</v>
      </c>
    </row>
    <row r="143" spans="1:11" x14ac:dyDescent="0.4">
      <c r="A143" s="133" t="s">
        <v>144</v>
      </c>
      <c r="B143" s="117" t="s">
        <v>66</v>
      </c>
      <c r="C143" s="132"/>
      <c r="D143" s="132"/>
      <c r="E143" s="132"/>
      <c r="F143" s="125">
        <v>0</v>
      </c>
      <c r="G143" s="125">
        <v>0</v>
      </c>
      <c r="H143" s="86">
        <v>11764809</v>
      </c>
      <c r="I143" s="86">
        <v>0</v>
      </c>
      <c r="J143" s="86">
        <v>1114078</v>
      </c>
      <c r="K143" s="86">
        <v>10650731</v>
      </c>
    </row>
    <row r="144" spans="1:11" x14ac:dyDescent="0.4">
      <c r="A144" s="133" t="s">
        <v>146</v>
      </c>
      <c r="B144" s="117" t="s">
        <v>67</v>
      </c>
      <c r="C144" s="132"/>
      <c r="D144" s="132"/>
      <c r="E144" s="132"/>
      <c r="F144" s="125">
        <v>20</v>
      </c>
      <c r="G144" s="125">
        <v>0</v>
      </c>
      <c r="H144" s="86">
        <v>31168</v>
      </c>
      <c r="I144" s="86">
        <v>0</v>
      </c>
      <c r="J144" s="86">
        <v>0</v>
      </c>
      <c r="K144" s="86">
        <v>31168</v>
      </c>
    </row>
    <row r="145" spans="1:11" x14ac:dyDescent="0.4">
      <c r="A145" s="133" t="s">
        <v>148</v>
      </c>
      <c r="B145" s="117" t="s">
        <v>68</v>
      </c>
      <c r="C145" s="132"/>
      <c r="D145" s="132"/>
      <c r="E145" s="132"/>
      <c r="F145" s="125">
        <v>3109.5</v>
      </c>
      <c r="G145" s="125">
        <v>53310</v>
      </c>
      <c r="H145" s="86">
        <v>823799</v>
      </c>
      <c r="I145" s="86">
        <v>0</v>
      </c>
      <c r="J145" s="86">
        <v>0</v>
      </c>
      <c r="K145" s="86">
        <v>823799</v>
      </c>
    </row>
    <row r="146" spans="1:11" x14ac:dyDescent="0.4">
      <c r="A146" s="133" t="s">
        <v>150</v>
      </c>
      <c r="B146" s="117" t="s">
        <v>69</v>
      </c>
      <c r="C146" s="132"/>
      <c r="D146" s="132"/>
      <c r="E146" s="132"/>
      <c r="F146" s="125">
        <v>1450.5</v>
      </c>
      <c r="G146" s="125">
        <v>619</v>
      </c>
      <c r="H146" s="86">
        <v>727445</v>
      </c>
      <c r="I146" s="86">
        <v>420819</v>
      </c>
      <c r="J146" s="86">
        <v>0</v>
      </c>
      <c r="K146" s="86">
        <v>1148264</v>
      </c>
    </row>
    <row r="147" spans="1:11" x14ac:dyDescent="0.4">
      <c r="A147" s="133" t="s">
        <v>153</v>
      </c>
      <c r="B147" s="117" t="s">
        <v>61</v>
      </c>
      <c r="C147" s="132"/>
      <c r="D147" s="132"/>
      <c r="E147" s="132"/>
      <c r="F147" s="329">
        <v>538</v>
      </c>
      <c r="G147" s="329">
        <v>411</v>
      </c>
      <c r="H147" s="360">
        <v>203998</v>
      </c>
      <c r="I147" s="360">
        <v>128723</v>
      </c>
      <c r="J147" s="360">
        <v>0</v>
      </c>
      <c r="K147" s="360">
        <v>332721</v>
      </c>
    </row>
    <row r="148" spans="1:11" x14ac:dyDescent="0.4">
      <c r="A148" s="133" t="s">
        <v>155</v>
      </c>
      <c r="B148" s="117" t="s">
        <v>70</v>
      </c>
      <c r="C148" s="132"/>
      <c r="D148" s="132"/>
      <c r="E148" s="132"/>
      <c r="F148" s="126" t="s">
        <v>73</v>
      </c>
      <c r="G148" s="126" t="s">
        <v>73</v>
      </c>
      <c r="H148" s="127" t="s">
        <v>73</v>
      </c>
      <c r="I148" s="127" t="s">
        <v>73</v>
      </c>
      <c r="J148" s="127" t="s">
        <v>73</v>
      </c>
      <c r="K148" s="124">
        <v>21680000</v>
      </c>
    </row>
    <row r="149" spans="1:11" x14ac:dyDescent="0.4">
      <c r="A149" s="133" t="s">
        <v>163</v>
      </c>
      <c r="B149" s="117" t="s">
        <v>71</v>
      </c>
      <c r="C149" s="132"/>
      <c r="D149" s="132"/>
      <c r="E149" s="132"/>
      <c r="F149" s="329">
        <v>0</v>
      </c>
      <c r="G149" s="329">
        <v>0</v>
      </c>
      <c r="H149" s="329">
        <v>0</v>
      </c>
      <c r="I149" s="329">
        <v>0</v>
      </c>
      <c r="J149" s="329">
        <v>0</v>
      </c>
      <c r="K149" s="329">
        <v>0</v>
      </c>
    </row>
    <row r="150" spans="1:11" x14ac:dyDescent="0.4">
      <c r="A150" s="133" t="s">
        <v>185</v>
      </c>
      <c r="B150" s="117" t="s">
        <v>183</v>
      </c>
      <c r="C150" s="132"/>
      <c r="D150" s="132"/>
      <c r="E150" s="132"/>
      <c r="F150" s="126" t="s">
        <v>73</v>
      </c>
      <c r="G150" s="126" t="s">
        <v>73</v>
      </c>
      <c r="H150" s="329">
        <f>H18</f>
        <v>12858796.84</v>
      </c>
      <c r="I150" s="329">
        <f>I18</f>
        <v>0</v>
      </c>
      <c r="J150" s="329">
        <f>J18</f>
        <v>10656987.039999999</v>
      </c>
      <c r="K150" s="329">
        <f>K18</f>
        <v>2201809.8000000007</v>
      </c>
    </row>
    <row r="151" spans="1:11" x14ac:dyDescent="0.4">
      <c r="A151" s="132"/>
      <c r="B151" s="117"/>
      <c r="C151" s="132"/>
      <c r="D151" s="132"/>
      <c r="E151" s="132"/>
      <c r="F151" s="128"/>
      <c r="G151" s="128"/>
      <c r="H151" s="128"/>
      <c r="I151" s="128"/>
      <c r="J151" s="128"/>
      <c r="K151" s="128"/>
    </row>
    <row r="152" spans="1:11" x14ac:dyDescent="0.4">
      <c r="A152" s="118" t="s">
        <v>165</v>
      </c>
      <c r="B152" s="117" t="s">
        <v>26</v>
      </c>
      <c r="C152" s="132"/>
      <c r="D152" s="132"/>
      <c r="E152" s="132"/>
      <c r="F152" s="129">
        <v>91849.95</v>
      </c>
      <c r="G152" s="129">
        <v>260823</v>
      </c>
      <c r="H152" s="360">
        <f>SUM(H141:H150)</f>
        <v>62491042.840000004</v>
      </c>
      <c r="I152" s="360">
        <f t="shared" ref="I152:K152" si="0">SUM(I141:I150)</f>
        <v>21201600</v>
      </c>
      <c r="J152" s="360">
        <f t="shared" si="0"/>
        <v>11963956.039999999</v>
      </c>
      <c r="K152" s="360">
        <f t="shared" si="0"/>
        <v>93408686.799999997</v>
      </c>
    </row>
    <row r="153" spans="1:11" x14ac:dyDescent="0.4">
      <c r="K153" s="239" t="s">
        <v>85</v>
      </c>
    </row>
    <row r="154" spans="1:11" x14ac:dyDescent="0.4">
      <c r="A154" s="118" t="s">
        <v>168</v>
      </c>
      <c r="B154" s="117" t="s">
        <v>28</v>
      </c>
      <c r="C154" s="132"/>
      <c r="D154" s="132"/>
      <c r="E154" s="132"/>
      <c r="F154" s="361">
        <v>0.13899847889051287</v>
      </c>
      <c r="G154" s="132"/>
      <c r="H154" s="132"/>
      <c r="I154" s="132"/>
      <c r="J154" s="132"/>
      <c r="K154" s="240"/>
    </row>
    <row r="155" spans="1:11" x14ac:dyDescent="0.4">
      <c r="A155" s="118" t="s">
        <v>169</v>
      </c>
      <c r="B155" s="117" t="s">
        <v>72</v>
      </c>
      <c r="C155" s="132"/>
      <c r="D155" s="132"/>
      <c r="E155" s="132"/>
      <c r="F155" s="361">
        <v>-9.5373794934640514</v>
      </c>
      <c r="G155" s="117"/>
      <c r="H155" s="132"/>
      <c r="I155" s="132"/>
      <c r="J155" s="132"/>
      <c r="K155" s="240"/>
    </row>
    <row r="156" spans="1:11" x14ac:dyDescent="0.4">
      <c r="A156" s="132"/>
      <c r="B156" s="132"/>
      <c r="C156" s="132"/>
      <c r="D156" s="132"/>
      <c r="E156" s="132"/>
      <c r="F156" s="132"/>
      <c r="G156" s="117"/>
      <c r="H156" s="132"/>
      <c r="I156" s="132"/>
      <c r="J156" s="132"/>
      <c r="K156" s="240"/>
    </row>
  </sheetData>
  <mergeCells count="29">
    <mergeCell ref="B134:D134"/>
    <mergeCell ref="B135:D135"/>
    <mergeCell ref="A19:B19"/>
    <mergeCell ref="B30:D30"/>
    <mergeCell ref="B31:D31"/>
    <mergeCell ref="B34:D34"/>
    <mergeCell ref="B41:C41"/>
    <mergeCell ref="B59:D59"/>
    <mergeCell ref="B106:D106"/>
    <mergeCell ref="B133:D133"/>
    <mergeCell ref="B94:D94"/>
    <mergeCell ref="B105:D105"/>
    <mergeCell ref="B96:D96"/>
    <mergeCell ref="B103:C103"/>
    <mergeCell ref="B104:D104"/>
    <mergeCell ref="B62:D62"/>
    <mergeCell ref="C10:G10"/>
    <mergeCell ref="D2:H2"/>
    <mergeCell ref="C5:G5"/>
    <mergeCell ref="C6:G6"/>
    <mergeCell ref="C7:G7"/>
    <mergeCell ref="C9:G9"/>
    <mergeCell ref="C11:G11"/>
    <mergeCell ref="B13:H13"/>
    <mergeCell ref="A16:B16"/>
    <mergeCell ref="B90:C90"/>
    <mergeCell ref="B95:D95"/>
    <mergeCell ref="B52:C52"/>
    <mergeCell ref="B60:D60"/>
  </mergeCells>
  <pageMargins left="0.7" right="0.7" top="0.75" bottom="0.75" header="0.3" footer="0.3"/>
  <pageSetup scale="6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pageSetUpPr fitToPage="1"/>
  </sheetPr>
  <dimension ref="A1:K156"/>
  <sheetViews>
    <sheetView topLeftCell="A136" zoomScale="85" zoomScaleNormal="85" workbookViewId="0">
      <selection activeCell="G109" sqref="G109"/>
    </sheetView>
  </sheetViews>
  <sheetFormatPr defaultColWidth="8.71875" defaultRowHeight="18" customHeight="1" x14ac:dyDescent="0.4"/>
  <cols>
    <col min="1" max="1" width="8.44140625" style="93" customWidth="1"/>
    <col min="2" max="2" width="55.44140625" bestFit="1" customWidth="1"/>
    <col min="3" max="3" width="9.5546875" customWidth="1"/>
    <col min="5" max="5" width="12.44140625" customWidth="1"/>
    <col min="6" max="6" width="18.5546875" customWidth="1"/>
    <col min="7" max="7" width="23.5546875" customWidth="1"/>
    <col min="8" max="8" width="17.44140625" customWidth="1"/>
    <col min="9" max="9" width="21.44140625" customWidth="1"/>
    <col min="10" max="10" width="19.5546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321</v>
      </c>
      <c r="D5" s="666"/>
      <c r="E5" s="666"/>
      <c r="F5" s="666"/>
      <c r="G5" s="667"/>
    </row>
    <row r="6" spans="1:11" ht="18" customHeight="1" x14ac:dyDescent="0.4">
      <c r="B6" s="1" t="s">
        <v>3</v>
      </c>
      <c r="C6" s="683">
        <v>210030</v>
      </c>
      <c r="D6" s="684"/>
      <c r="E6" s="684"/>
      <c r="F6" s="684"/>
      <c r="G6" s="685"/>
    </row>
    <row r="7" spans="1:11" ht="18" customHeight="1" x14ac:dyDescent="0.4">
      <c r="B7" s="1" t="s">
        <v>4</v>
      </c>
      <c r="C7" s="686">
        <v>185</v>
      </c>
      <c r="D7" s="687"/>
      <c r="E7" s="687"/>
      <c r="F7" s="687"/>
      <c r="G7" s="688"/>
    </row>
    <row r="9" spans="1:11" ht="18" customHeight="1" x14ac:dyDescent="0.4">
      <c r="B9" s="1" t="s">
        <v>1</v>
      </c>
      <c r="C9" s="663" t="s">
        <v>442</v>
      </c>
      <c r="D9" s="666"/>
      <c r="E9" s="666"/>
      <c r="F9" s="666"/>
      <c r="G9" s="667"/>
    </row>
    <row r="10" spans="1:11" ht="18" customHeight="1" x14ac:dyDescent="0.4">
      <c r="B10" s="1" t="s">
        <v>2</v>
      </c>
      <c r="C10" s="733" t="s">
        <v>682</v>
      </c>
      <c r="D10" s="661"/>
      <c r="E10" s="661"/>
      <c r="F10" s="661"/>
      <c r="G10" s="662"/>
    </row>
    <row r="11" spans="1:11" ht="18" customHeight="1" x14ac:dyDescent="0.4">
      <c r="B11" s="1" t="s">
        <v>32</v>
      </c>
      <c r="C11" s="663" t="s">
        <v>476</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941806.55</v>
      </c>
      <c r="I18" s="115">
        <v>0</v>
      </c>
      <c r="J18" s="307">
        <v>780541.16</v>
      </c>
      <c r="K18" s="308">
        <f>(H18+I18)-J18</f>
        <v>161265.39000000001</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714</v>
      </c>
      <c r="G21" s="306">
        <v>450</v>
      </c>
      <c r="H21" s="307">
        <v>48601.116826641759</v>
      </c>
      <c r="I21" s="115">
        <v>14860.262199708524</v>
      </c>
      <c r="J21" s="307">
        <v>0</v>
      </c>
      <c r="K21" s="308">
        <f t="shared" ref="K21:K34" si="0">(H21+I21)-J21</f>
        <v>63461.379026350281</v>
      </c>
    </row>
    <row r="22" spans="1:11" ht="18" customHeight="1" x14ac:dyDescent="0.4">
      <c r="A22" s="1" t="s">
        <v>76</v>
      </c>
      <c r="B22" t="s">
        <v>6</v>
      </c>
      <c r="F22" s="306"/>
      <c r="G22" s="306"/>
      <c r="H22" s="307"/>
      <c r="I22" s="115"/>
      <c r="J22" s="307"/>
      <c r="K22" s="308">
        <f t="shared" si="0"/>
        <v>0</v>
      </c>
    </row>
    <row r="23" spans="1:11" ht="18" customHeight="1" x14ac:dyDescent="0.4">
      <c r="A23" s="1" t="s">
        <v>77</v>
      </c>
      <c r="B23" t="s">
        <v>43</v>
      </c>
      <c r="F23" s="306"/>
      <c r="G23" s="306"/>
      <c r="H23" s="307"/>
      <c r="I23" s="115"/>
      <c r="J23" s="307"/>
      <c r="K23" s="308">
        <f t="shared" si="0"/>
        <v>0</v>
      </c>
    </row>
    <row r="24" spans="1:11" ht="18" customHeight="1" x14ac:dyDescent="0.4">
      <c r="A24" s="1" t="s">
        <v>78</v>
      </c>
      <c r="B24" t="s">
        <v>44</v>
      </c>
      <c r="F24" s="306"/>
      <c r="G24" s="306"/>
      <c r="H24" s="307"/>
      <c r="I24" s="115"/>
      <c r="J24" s="307"/>
      <c r="K24" s="308">
        <f t="shared" si="0"/>
        <v>0</v>
      </c>
    </row>
    <row r="25" spans="1:11" ht="18" customHeight="1" x14ac:dyDescent="0.4">
      <c r="A25" s="1" t="s">
        <v>79</v>
      </c>
      <c r="B25" t="s">
        <v>5</v>
      </c>
      <c r="F25" s="306">
        <v>33</v>
      </c>
      <c r="G25" s="306">
        <v>72</v>
      </c>
      <c r="H25" s="307">
        <v>1972.2322903069719</v>
      </c>
      <c r="I25" s="115">
        <v>471.47994922664662</v>
      </c>
      <c r="J25" s="307">
        <v>0</v>
      </c>
      <c r="K25" s="308">
        <f t="shared" si="0"/>
        <v>2443.7122395336187</v>
      </c>
    </row>
    <row r="26" spans="1:11" ht="18" customHeight="1" x14ac:dyDescent="0.4">
      <c r="A26" s="1" t="s">
        <v>80</v>
      </c>
      <c r="B26" t="s">
        <v>45</v>
      </c>
      <c r="F26" s="306"/>
      <c r="G26" s="306"/>
      <c r="H26" s="307"/>
      <c r="I26" s="115"/>
      <c r="J26" s="307"/>
      <c r="K26" s="308">
        <f t="shared" si="0"/>
        <v>0</v>
      </c>
    </row>
    <row r="27" spans="1:11" ht="18" customHeight="1" x14ac:dyDescent="0.4">
      <c r="A27" s="1" t="s">
        <v>81</v>
      </c>
      <c r="B27" t="s">
        <v>455</v>
      </c>
      <c r="F27" s="306"/>
      <c r="G27" s="306"/>
      <c r="H27" s="307"/>
      <c r="I27" s="115"/>
      <c r="J27" s="307"/>
      <c r="K27" s="308">
        <f t="shared" si="0"/>
        <v>0</v>
      </c>
    </row>
    <row r="28" spans="1:11" ht="18" customHeight="1" x14ac:dyDescent="0.4">
      <c r="A28" s="1" t="s">
        <v>82</v>
      </c>
      <c r="B28" t="s">
        <v>47</v>
      </c>
      <c r="F28" s="306"/>
      <c r="G28" s="306"/>
      <c r="H28" s="307"/>
      <c r="I28" s="115"/>
      <c r="J28" s="307"/>
      <c r="K28" s="308">
        <f t="shared" si="0"/>
        <v>0</v>
      </c>
    </row>
    <row r="29" spans="1:11" ht="18" customHeight="1" x14ac:dyDescent="0.4">
      <c r="A29" s="1" t="s">
        <v>83</v>
      </c>
      <c r="B29" t="s">
        <v>48</v>
      </c>
      <c r="F29" s="306"/>
      <c r="G29" s="306"/>
      <c r="H29" s="307"/>
      <c r="I29" s="115"/>
      <c r="J29" s="307"/>
      <c r="K29" s="308">
        <f t="shared" si="0"/>
        <v>0</v>
      </c>
    </row>
    <row r="30" spans="1:11" ht="18" customHeight="1" x14ac:dyDescent="0.4">
      <c r="A30" s="1" t="s">
        <v>84</v>
      </c>
      <c r="B30" s="630"/>
      <c r="C30" s="631"/>
      <c r="D30" s="632"/>
      <c r="F30" s="306"/>
      <c r="G30" s="306"/>
      <c r="H30" s="307"/>
      <c r="I30" s="115"/>
      <c r="J30" s="307"/>
      <c r="K30" s="308">
        <f t="shared" si="0"/>
        <v>0</v>
      </c>
    </row>
    <row r="31" spans="1:11" ht="18" customHeight="1" x14ac:dyDescent="0.4">
      <c r="A31" s="1" t="s">
        <v>133</v>
      </c>
      <c r="B31" s="630"/>
      <c r="C31" s="631"/>
      <c r="D31" s="632"/>
      <c r="F31" s="306"/>
      <c r="G31" s="306"/>
      <c r="H31" s="307"/>
      <c r="I31" s="115"/>
      <c r="J31" s="307"/>
      <c r="K31" s="308">
        <f t="shared" si="0"/>
        <v>0</v>
      </c>
    </row>
    <row r="32" spans="1:11" ht="18" customHeight="1" x14ac:dyDescent="0.4">
      <c r="A32" s="1" t="s">
        <v>134</v>
      </c>
      <c r="B32" s="394"/>
      <c r="C32" s="395"/>
      <c r="D32" s="396"/>
      <c r="F32" s="306"/>
      <c r="G32" s="309" t="s">
        <v>85</v>
      </c>
      <c r="H32" s="307"/>
      <c r="I32" s="115"/>
      <c r="J32" s="307"/>
      <c r="K32" s="308">
        <f t="shared" si="0"/>
        <v>0</v>
      </c>
    </row>
    <row r="33" spans="1:11" ht="18" customHeight="1" x14ac:dyDescent="0.4">
      <c r="A33" s="1" t="s">
        <v>135</v>
      </c>
      <c r="B33" s="394"/>
      <c r="C33" s="395"/>
      <c r="D33" s="396"/>
      <c r="F33" s="306"/>
      <c r="G33" s="309" t="s">
        <v>85</v>
      </c>
      <c r="H33" s="307"/>
      <c r="I33" s="115"/>
      <c r="J33" s="307"/>
      <c r="K33" s="308">
        <f t="shared" si="0"/>
        <v>0</v>
      </c>
    </row>
    <row r="34" spans="1:11" ht="18" customHeight="1" x14ac:dyDescent="0.4">
      <c r="A34" s="1" t="s">
        <v>136</v>
      </c>
      <c r="B34" s="630"/>
      <c r="C34" s="631"/>
      <c r="D34" s="632"/>
      <c r="F34" s="306"/>
      <c r="G34" s="309" t="s">
        <v>85</v>
      </c>
      <c r="H34" s="307"/>
      <c r="I34" s="115"/>
      <c r="J34" s="307"/>
      <c r="K34" s="308">
        <f t="shared" si="0"/>
        <v>0</v>
      </c>
    </row>
    <row r="35" spans="1:11" ht="18" customHeight="1" x14ac:dyDescent="0.4">
      <c r="K35" s="397"/>
    </row>
    <row r="36" spans="1:11" ht="18" customHeight="1" x14ac:dyDescent="0.4">
      <c r="A36" s="98" t="s">
        <v>137</v>
      </c>
      <c r="B36" s="95" t="s">
        <v>138</v>
      </c>
      <c r="E36" s="95" t="s">
        <v>7</v>
      </c>
      <c r="F36" s="310">
        <f>SUM(F21:F34)</f>
        <v>747</v>
      </c>
      <c r="G36" s="310">
        <f t="shared" ref="G36:K36" si="1">SUM(G21:G34)</f>
        <v>522</v>
      </c>
      <c r="H36" s="308">
        <f t="shared" si="1"/>
        <v>50573.349116948732</v>
      </c>
      <c r="I36" s="308">
        <f t="shared" si="1"/>
        <v>15331.742148935171</v>
      </c>
      <c r="J36" s="308">
        <f t="shared" si="1"/>
        <v>0</v>
      </c>
      <c r="K36" s="308">
        <f t="shared" si="1"/>
        <v>65905.091265883893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2">(H40+I40)-J40</f>
        <v>0</v>
      </c>
    </row>
    <row r="41" spans="1:11" ht="18" customHeight="1" x14ac:dyDescent="0.4">
      <c r="A41" s="1" t="s">
        <v>88</v>
      </c>
      <c r="B41" s="635" t="s">
        <v>50</v>
      </c>
      <c r="C41" s="636"/>
      <c r="F41" s="306"/>
      <c r="G41" s="306"/>
      <c r="H41" s="307"/>
      <c r="I41" s="115">
        <v>0</v>
      </c>
      <c r="J41" s="307"/>
      <c r="K41" s="308">
        <f t="shared" si="2"/>
        <v>0</v>
      </c>
    </row>
    <row r="42" spans="1:11" ht="18" customHeight="1" x14ac:dyDescent="0.4">
      <c r="A42" s="1" t="s">
        <v>89</v>
      </c>
      <c r="B42" s="94" t="s">
        <v>11</v>
      </c>
      <c r="F42" s="306"/>
      <c r="G42" s="306"/>
      <c r="H42" s="307"/>
      <c r="I42" s="115">
        <v>0</v>
      </c>
      <c r="J42" s="307"/>
      <c r="K42" s="308">
        <f t="shared" si="2"/>
        <v>0</v>
      </c>
    </row>
    <row r="43" spans="1:11" ht="18" customHeight="1" x14ac:dyDescent="0.4">
      <c r="A43" s="1" t="s">
        <v>90</v>
      </c>
      <c r="B43" s="94" t="s">
        <v>10</v>
      </c>
      <c r="F43" s="306"/>
      <c r="G43" s="306"/>
      <c r="H43" s="307"/>
      <c r="I43" s="115">
        <v>0</v>
      </c>
      <c r="J43" s="307"/>
      <c r="K43" s="308">
        <f t="shared" si="2"/>
        <v>0</v>
      </c>
    </row>
    <row r="44" spans="1:11" ht="18" customHeight="1" x14ac:dyDescent="0.4">
      <c r="A44" s="1" t="s">
        <v>91</v>
      </c>
      <c r="B44" s="630"/>
      <c r="C44" s="631"/>
      <c r="D44" s="632"/>
      <c r="F44" s="311"/>
      <c r="G44" s="311"/>
      <c r="H44" s="311"/>
      <c r="I44" s="116">
        <v>0</v>
      </c>
      <c r="J44" s="311"/>
      <c r="K44" s="353">
        <f t="shared" si="2"/>
        <v>0</v>
      </c>
    </row>
    <row r="45" spans="1:11" ht="18" customHeight="1" x14ac:dyDescent="0.4">
      <c r="A45" s="1" t="s">
        <v>139</v>
      </c>
      <c r="B45" s="630"/>
      <c r="C45" s="631"/>
      <c r="D45" s="632"/>
      <c r="F45" s="306"/>
      <c r="G45" s="306"/>
      <c r="H45" s="307"/>
      <c r="I45" s="115">
        <v>0</v>
      </c>
      <c r="J45" s="307"/>
      <c r="K45" s="308">
        <f t="shared" si="2"/>
        <v>0</v>
      </c>
    </row>
    <row r="46" spans="1:11" ht="18" customHeight="1" x14ac:dyDescent="0.4">
      <c r="A46" s="1" t="s">
        <v>140</v>
      </c>
      <c r="B46" s="630"/>
      <c r="C46" s="631"/>
      <c r="D46" s="632"/>
      <c r="F46" s="306"/>
      <c r="G46" s="306"/>
      <c r="H46" s="307"/>
      <c r="I46" s="115">
        <v>0</v>
      </c>
      <c r="J46" s="307"/>
      <c r="K46" s="308">
        <f t="shared" si="2"/>
        <v>0</v>
      </c>
    </row>
    <row r="47" spans="1:11" ht="18" customHeight="1" x14ac:dyDescent="0.4">
      <c r="A47" s="1" t="s">
        <v>141</v>
      </c>
      <c r="B47" s="630"/>
      <c r="C47" s="631"/>
      <c r="D47" s="632"/>
      <c r="F47" s="306"/>
      <c r="G47" s="306"/>
      <c r="H47" s="307"/>
      <c r="I47" s="115">
        <v>0</v>
      </c>
      <c r="J47" s="307"/>
      <c r="K47" s="308">
        <f t="shared" si="2"/>
        <v>0</v>
      </c>
    </row>
    <row r="49" spans="1:11" ht="18" customHeight="1" x14ac:dyDescent="0.4">
      <c r="A49" s="98" t="s">
        <v>142</v>
      </c>
      <c r="B49" s="95" t="s">
        <v>143</v>
      </c>
      <c r="E49" s="95" t="s">
        <v>7</v>
      </c>
      <c r="F49" s="312">
        <f t="shared" ref="F49:K49" si="3">SUM(F40:F47)</f>
        <v>0</v>
      </c>
      <c r="G49" s="312">
        <f t="shared" si="3"/>
        <v>0</v>
      </c>
      <c r="H49" s="308">
        <f t="shared" si="3"/>
        <v>0</v>
      </c>
      <c r="I49" s="308">
        <f t="shared" si="3"/>
        <v>0</v>
      </c>
      <c r="J49" s="308">
        <f t="shared" si="3"/>
        <v>0</v>
      </c>
      <c r="K49" s="308">
        <f t="shared" si="3"/>
        <v>0</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5">
      <c r="A53" s="1" t="s">
        <v>51</v>
      </c>
      <c r="B53" s="419" t="s">
        <v>683</v>
      </c>
      <c r="C53" s="420"/>
      <c r="D53" s="421"/>
      <c r="F53" s="306"/>
      <c r="G53" s="306"/>
      <c r="H53" s="307">
        <v>816872</v>
      </c>
      <c r="I53" s="115">
        <v>0</v>
      </c>
      <c r="J53" s="307">
        <v>0</v>
      </c>
      <c r="K53" s="308">
        <f t="shared" ref="K53:K62" si="4">(H53+I53)-J53</f>
        <v>816872</v>
      </c>
    </row>
    <row r="54" spans="1:11" ht="18" customHeight="1" x14ac:dyDescent="0.45">
      <c r="A54" s="1" t="s">
        <v>93</v>
      </c>
      <c r="B54" s="419" t="s">
        <v>684</v>
      </c>
      <c r="C54" s="420"/>
      <c r="D54" s="421"/>
      <c r="F54" s="306"/>
      <c r="G54" s="306"/>
      <c r="H54" s="307">
        <v>3100403</v>
      </c>
      <c r="I54" s="115">
        <v>0</v>
      </c>
      <c r="J54" s="307">
        <v>0</v>
      </c>
      <c r="K54" s="308">
        <f t="shared" si="4"/>
        <v>3100403</v>
      </c>
    </row>
    <row r="55" spans="1:11" ht="18" customHeight="1" x14ac:dyDescent="0.45">
      <c r="A55" s="1" t="s">
        <v>94</v>
      </c>
      <c r="B55" s="419" t="s">
        <v>685</v>
      </c>
      <c r="C55" s="420"/>
      <c r="D55" s="421"/>
      <c r="F55" s="306"/>
      <c r="G55" s="306"/>
      <c r="H55" s="307">
        <v>522745</v>
      </c>
      <c r="I55" s="115">
        <v>0</v>
      </c>
      <c r="J55" s="307">
        <v>0</v>
      </c>
      <c r="K55" s="308">
        <f t="shared" si="4"/>
        <v>522745</v>
      </c>
    </row>
    <row r="56" spans="1:11" ht="18" customHeight="1" x14ac:dyDescent="0.45">
      <c r="A56" s="1" t="s">
        <v>95</v>
      </c>
      <c r="B56" s="419" t="s">
        <v>686</v>
      </c>
      <c r="C56" s="420"/>
      <c r="D56" s="421"/>
      <c r="F56" s="306"/>
      <c r="G56" s="306"/>
      <c r="H56" s="307">
        <v>1226513</v>
      </c>
      <c r="I56" s="115">
        <v>0</v>
      </c>
      <c r="J56" s="307">
        <v>0</v>
      </c>
      <c r="K56" s="308">
        <f t="shared" si="4"/>
        <v>1226513</v>
      </c>
    </row>
    <row r="57" spans="1:11" ht="18" customHeight="1" x14ac:dyDescent="0.45">
      <c r="A57" s="1" t="s">
        <v>96</v>
      </c>
      <c r="B57" s="419" t="s">
        <v>546</v>
      </c>
      <c r="C57" s="419"/>
      <c r="D57" s="419"/>
      <c r="F57" s="306">
        <v>1129</v>
      </c>
      <c r="G57" s="306">
        <v>219</v>
      </c>
      <c r="H57" s="307">
        <v>77445</v>
      </c>
      <c r="I57" s="115">
        <v>198</v>
      </c>
      <c r="J57" s="307">
        <v>0</v>
      </c>
      <c r="K57" s="308">
        <f t="shared" si="4"/>
        <v>77643</v>
      </c>
    </row>
    <row r="58" spans="1:11" ht="18" customHeight="1" x14ac:dyDescent="0.4">
      <c r="A58" s="1" t="s">
        <v>97</v>
      </c>
      <c r="B58" s="400" t="s">
        <v>687</v>
      </c>
      <c r="C58" s="401"/>
      <c r="D58" s="402"/>
      <c r="F58" s="306"/>
      <c r="G58" s="306"/>
      <c r="H58" s="307">
        <v>552735.49499999988</v>
      </c>
      <c r="I58" s="115">
        <v>148800.68473026057</v>
      </c>
      <c r="J58" s="307">
        <v>0</v>
      </c>
      <c r="K58" s="308">
        <f t="shared" si="4"/>
        <v>701536.17973026051</v>
      </c>
    </row>
    <row r="59" spans="1:11" ht="18" customHeight="1" x14ac:dyDescent="0.4">
      <c r="A59" s="1" t="s">
        <v>98</v>
      </c>
      <c r="B59" s="655" t="s">
        <v>688</v>
      </c>
      <c r="C59" s="653"/>
      <c r="D59" s="654"/>
      <c r="F59" s="306"/>
      <c r="G59" s="306"/>
      <c r="H59" s="307">
        <v>364139.26333333342</v>
      </c>
      <c r="I59" s="115">
        <v>98029.115573937772</v>
      </c>
      <c r="J59" s="307">
        <v>0</v>
      </c>
      <c r="K59" s="308">
        <f t="shared" si="4"/>
        <v>462168.3789072712</v>
      </c>
    </row>
    <row r="60" spans="1:11" ht="18" customHeight="1" x14ac:dyDescent="0.4">
      <c r="A60" s="1" t="s">
        <v>99</v>
      </c>
      <c r="B60" s="400" t="s">
        <v>689</v>
      </c>
      <c r="C60" s="401"/>
      <c r="D60" s="402"/>
      <c r="F60" s="306"/>
      <c r="G60" s="306"/>
      <c r="H60" s="307">
        <v>309862.59666666668</v>
      </c>
      <c r="I60" s="115">
        <v>83417.415695904565</v>
      </c>
      <c r="J60" s="307">
        <v>0</v>
      </c>
      <c r="K60" s="308">
        <f t="shared" si="4"/>
        <v>393280.01236257126</v>
      </c>
    </row>
    <row r="61" spans="1:11" ht="18" customHeight="1" x14ac:dyDescent="0.4">
      <c r="A61" s="1" t="s">
        <v>100</v>
      </c>
      <c r="B61" s="400" t="s">
        <v>690</v>
      </c>
      <c r="C61" s="401"/>
      <c r="D61" s="402"/>
      <c r="F61" s="306"/>
      <c r="G61" s="306"/>
      <c r="H61" s="307">
        <v>303070.23000000004</v>
      </c>
      <c r="I61" s="115">
        <v>81588.857877414921</v>
      </c>
      <c r="J61" s="307">
        <v>0</v>
      </c>
      <c r="K61" s="308">
        <f t="shared" si="4"/>
        <v>384659.08787741495</v>
      </c>
    </row>
    <row r="62" spans="1:11" ht="45" customHeight="1" x14ac:dyDescent="0.4">
      <c r="A62" s="1" t="s">
        <v>101</v>
      </c>
      <c r="B62" s="734" t="s">
        <v>691</v>
      </c>
      <c r="C62" s="735"/>
      <c r="D62" s="736"/>
      <c r="F62" s="306"/>
      <c r="G62" s="306"/>
      <c r="H62" s="307">
        <v>1652801.2616666672</v>
      </c>
      <c r="I62" s="115">
        <v>444946.92612248217</v>
      </c>
      <c r="J62" s="307">
        <v>0</v>
      </c>
      <c r="K62" s="308">
        <f t="shared" si="4"/>
        <v>2097748.1877891496</v>
      </c>
    </row>
    <row r="63" spans="1:11" ht="18" customHeight="1" x14ac:dyDescent="0.4">
      <c r="A63" s="1"/>
      <c r="I63" s="403"/>
    </row>
    <row r="64" spans="1:11" ht="18" customHeight="1" x14ac:dyDescent="0.4">
      <c r="A64" s="1" t="s">
        <v>144</v>
      </c>
      <c r="B64" s="95" t="s">
        <v>145</v>
      </c>
      <c r="E64" s="95" t="s">
        <v>7</v>
      </c>
      <c r="F64" s="310">
        <f t="shared" ref="F64:K64" si="5">SUM(F53:F62)</f>
        <v>1129</v>
      </c>
      <c r="G64" s="310">
        <f t="shared" si="5"/>
        <v>219</v>
      </c>
      <c r="H64" s="308">
        <f t="shared" si="5"/>
        <v>8926586.8466666676</v>
      </c>
      <c r="I64" s="308">
        <f t="shared" si="5"/>
        <v>856981</v>
      </c>
      <c r="J64" s="308">
        <f t="shared" si="5"/>
        <v>0</v>
      </c>
      <c r="K64" s="308">
        <f t="shared" si="5"/>
        <v>9783567.8466666676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6">SUM(F68:F72)</f>
        <v>0</v>
      </c>
      <c r="G74" s="411">
        <f t="shared" si="6"/>
        <v>0</v>
      </c>
      <c r="H74" s="411">
        <f t="shared" si="6"/>
        <v>0</v>
      </c>
      <c r="I74" s="412">
        <f t="shared" si="6"/>
        <v>0</v>
      </c>
      <c r="J74" s="411">
        <f t="shared" si="6"/>
        <v>0</v>
      </c>
      <c r="K74" s="308">
        <f t="shared" si="6"/>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7">SUM(F77:F80)</f>
        <v>0</v>
      </c>
      <c r="G82" s="411">
        <f t="shared" si="7"/>
        <v>0</v>
      </c>
      <c r="H82" s="308">
        <f t="shared" si="7"/>
        <v>0</v>
      </c>
      <c r="I82" s="308">
        <f t="shared" si="7"/>
        <v>0</v>
      </c>
      <c r="J82" s="308">
        <f t="shared" si="7"/>
        <v>0</v>
      </c>
      <c r="K82" s="308">
        <f t="shared" si="7"/>
        <v>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v>0</v>
      </c>
      <c r="J86" s="307"/>
      <c r="K86" s="308">
        <f t="shared" ref="K86:K96" si="8">(H86+I86)-J86</f>
        <v>0</v>
      </c>
    </row>
    <row r="87" spans="1:11" ht="18" customHeight="1" x14ac:dyDescent="0.4">
      <c r="A87" s="1" t="s">
        <v>114</v>
      </c>
      <c r="B87" s="94" t="s">
        <v>14</v>
      </c>
      <c r="F87" s="306">
        <v>6</v>
      </c>
      <c r="G87" s="306"/>
      <c r="H87" s="307">
        <v>1249.4967800558131</v>
      </c>
      <c r="I87" s="115">
        <v>785.79991537774436</v>
      </c>
      <c r="J87" s="307">
        <v>0</v>
      </c>
      <c r="K87" s="308">
        <f t="shared" si="8"/>
        <v>2035.2966954335575</v>
      </c>
    </row>
    <row r="88" spans="1:11" ht="18" customHeight="1" x14ac:dyDescent="0.4">
      <c r="A88" s="1" t="s">
        <v>115</v>
      </c>
      <c r="B88" s="94" t="s">
        <v>116</v>
      </c>
      <c r="F88" s="306">
        <v>20</v>
      </c>
      <c r="G88" s="306"/>
      <c r="H88" s="307">
        <v>831.65593351937696</v>
      </c>
      <c r="I88" s="115">
        <v>806.70625551379567</v>
      </c>
      <c r="J88" s="307">
        <v>0</v>
      </c>
      <c r="K88" s="308">
        <f t="shared" si="8"/>
        <v>1638.3621890331726</v>
      </c>
    </row>
    <row r="89" spans="1:11" ht="18" customHeight="1" x14ac:dyDescent="0.4">
      <c r="A89" s="1" t="s">
        <v>117</v>
      </c>
      <c r="B89" s="94" t="s">
        <v>58</v>
      </c>
      <c r="F89" s="306"/>
      <c r="G89" s="306"/>
      <c r="H89" s="307"/>
      <c r="I89" s="115">
        <v>0</v>
      </c>
      <c r="J89" s="307"/>
      <c r="K89" s="308">
        <f t="shared" si="8"/>
        <v>0</v>
      </c>
    </row>
    <row r="90" spans="1:11" ht="18" customHeight="1" x14ac:dyDescent="0.4">
      <c r="A90" s="1" t="s">
        <v>118</v>
      </c>
      <c r="B90" s="635" t="s">
        <v>59</v>
      </c>
      <c r="C90" s="636"/>
      <c r="F90" s="306"/>
      <c r="G90" s="306"/>
      <c r="H90" s="307"/>
      <c r="I90" s="115">
        <v>0</v>
      </c>
      <c r="J90" s="307"/>
      <c r="K90" s="308">
        <f t="shared" si="8"/>
        <v>0</v>
      </c>
    </row>
    <row r="91" spans="1:11" ht="18" customHeight="1" x14ac:dyDescent="0.4">
      <c r="A91" s="1" t="s">
        <v>119</v>
      </c>
      <c r="B91" s="94" t="s">
        <v>60</v>
      </c>
      <c r="F91" s="306">
        <v>113</v>
      </c>
      <c r="G91" s="306"/>
      <c r="H91" s="307">
        <v>4698.8560243844795</v>
      </c>
      <c r="I91" s="115">
        <v>4557.8903436529454</v>
      </c>
      <c r="J91" s="307">
        <v>0</v>
      </c>
      <c r="K91" s="308">
        <f t="shared" si="8"/>
        <v>9256.746368037424</v>
      </c>
    </row>
    <row r="92" spans="1:11" ht="18" customHeight="1" x14ac:dyDescent="0.4">
      <c r="A92" s="1" t="s">
        <v>120</v>
      </c>
      <c r="B92" s="94" t="s">
        <v>121</v>
      </c>
      <c r="F92" s="107"/>
      <c r="G92" s="107"/>
      <c r="H92" s="108"/>
      <c r="I92" s="115">
        <v>0</v>
      </c>
      <c r="J92" s="108"/>
      <c r="K92" s="308">
        <f t="shared" si="8"/>
        <v>0</v>
      </c>
    </row>
    <row r="93" spans="1:11" ht="18" customHeight="1" x14ac:dyDescent="0.4">
      <c r="A93" s="1" t="s">
        <v>122</v>
      </c>
      <c r="B93" s="94" t="s">
        <v>123</v>
      </c>
      <c r="F93" s="306"/>
      <c r="G93" s="306"/>
      <c r="H93" s="307"/>
      <c r="I93" s="115">
        <v>0</v>
      </c>
      <c r="J93" s="307"/>
      <c r="K93" s="308">
        <f t="shared" si="8"/>
        <v>0</v>
      </c>
    </row>
    <row r="94" spans="1:11" ht="18" customHeight="1" x14ac:dyDescent="0.4">
      <c r="A94" s="1" t="s">
        <v>124</v>
      </c>
      <c r="B94" s="655"/>
      <c r="C94" s="653"/>
      <c r="D94" s="654"/>
      <c r="F94" s="306"/>
      <c r="G94" s="306"/>
      <c r="H94" s="307"/>
      <c r="I94" s="115">
        <v>0</v>
      </c>
      <c r="J94" s="307"/>
      <c r="K94" s="308">
        <f t="shared" si="8"/>
        <v>0</v>
      </c>
    </row>
    <row r="95" spans="1:11" ht="18" customHeight="1" x14ac:dyDescent="0.4">
      <c r="A95" s="1" t="s">
        <v>125</v>
      </c>
      <c r="B95" s="655"/>
      <c r="C95" s="653"/>
      <c r="D95" s="654"/>
      <c r="F95" s="306"/>
      <c r="G95" s="306"/>
      <c r="H95" s="307"/>
      <c r="I95" s="115">
        <v>0</v>
      </c>
      <c r="J95" s="307"/>
      <c r="K95" s="308">
        <f t="shared" si="8"/>
        <v>0</v>
      </c>
    </row>
    <row r="96" spans="1:11" ht="18" customHeight="1" x14ac:dyDescent="0.4">
      <c r="A96" s="1" t="s">
        <v>126</v>
      </c>
      <c r="B96" s="655"/>
      <c r="C96" s="653"/>
      <c r="D96" s="654"/>
      <c r="F96" s="306"/>
      <c r="G96" s="306"/>
      <c r="H96" s="307"/>
      <c r="I96" s="115">
        <v>0</v>
      </c>
      <c r="J96" s="307"/>
      <c r="K96" s="308">
        <f t="shared" si="8"/>
        <v>0</v>
      </c>
    </row>
    <row r="97" spans="1:11" ht="18" customHeight="1" x14ac:dyDescent="0.4">
      <c r="A97" s="1"/>
      <c r="B97" s="94"/>
    </row>
    <row r="98" spans="1:11" ht="18" customHeight="1" x14ac:dyDescent="0.4">
      <c r="A98" s="98" t="s">
        <v>150</v>
      </c>
      <c r="B98" s="95" t="s">
        <v>151</v>
      </c>
      <c r="E98" s="95" t="s">
        <v>7</v>
      </c>
      <c r="F98" s="310">
        <f t="shared" ref="F98:K98" si="9">SUM(F86:F96)</f>
        <v>139</v>
      </c>
      <c r="G98" s="310">
        <f t="shared" si="9"/>
        <v>0</v>
      </c>
      <c r="H98" s="308">
        <f t="shared" si="9"/>
        <v>6780.0087379596698</v>
      </c>
      <c r="I98" s="308">
        <f t="shared" si="9"/>
        <v>6150.3965145444854</v>
      </c>
      <c r="J98" s="351">
        <f t="shared" si="9"/>
        <v>0</v>
      </c>
      <c r="K98" s="308">
        <f t="shared" si="9"/>
        <v>12930.405252504155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460</v>
      </c>
      <c r="G102" s="306"/>
      <c r="H102" s="307">
        <v>19128.086470945669</v>
      </c>
      <c r="I102" s="115">
        <v>18554.243876817298</v>
      </c>
      <c r="J102" s="307">
        <v>0</v>
      </c>
      <c r="K102" s="308">
        <f>(H102+I102)-J102</f>
        <v>37682.330347762967</v>
      </c>
    </row>
    <row r="103" spans="1:11" ht="18" customHeight="1" x14ac:dyDescent="0.4">
      <c r="A103" s="1" t="s">
        <v>132</v>
      </c>
      <c r="B103" s="635" t="s">
        <v>62</v>
      </c>
      <c r="C103" s="635"/>
      <c r="F103" s="306">
        <v>1000</v>
      </c>
      <c r="G103" s="306"/>
      <c r="H103" s="307">
        <v>41582.796675968842</v>
      </c>
      <c r="I103" s="115">
        <v>40335.312775689774</v>
      </c>
      <c r="J103" s="307">
        <v>0</v>
      </c>
      <c r="K103" s="308">
        <f>(H103+I103)-J103</f>
        <v>81918.109451658616</v>
      </c>
    </row>
    <row r="104" spans="1:11" ht="18" customHeight="1" x14ac:dyDescent="0.4">
      <c r="A104" s="1" t="s">
        <v>128</v>
      </c>
      <c r="B104" s="655"/>
      <c r="C104" s="653"/>
      <c r="D104" s="654"/>
      <c r="F104" s="306"/>
      <c r="G104" s="306"/>
      <c r="H104" s="307"/>
      <c r="I104" s="115">
        <v>0</v>
      </c>
      <c r="J104" s="307"/>
      <c r="K104" s="308">
        <f>(H104+I104)-J104</f>
        <v>0</v>
      </c>
    </row>
    <row r="105" spans="1:11" ht="18" customHeight="1" x14ac:dyDescent="0.4">
      <c r="A105" s="1" t="s">
        <v>127</v>
      </c>
      <c r="B105" s="655"/>
      <c r="C105" s="653"/>
      <c r="D105" s="654"/>
      <c r="F105" s="306"/>
      <c r="G105" s="306"/>
      <c r="H105" s="307"/>
      <c r="I105" s="115">
        <v>0</v>
      </c>
      <c r="J105" s="307"/>
      <c r="K105" s="308">
        <f>(H105+I105)-J105</f>
        <v>0</v>
      </c>
    </row>
    <row r="106" spans="1:11" ht="18" customHeight="1" x14ac:dyDescent="0.4">
      <c r="A106" s="1" t="s">
        <v>129</v>
      </c>
      <c r="B106" s="655"/>
      <c r="C106" s="653"/>
      <c r="D106" s="654"/>
      <c r="F106" s="306"/>
      <c r="G106" s="306"/>
      <c r="H106" s="307"/>
      <c r="I106" s="115">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0">SUM(F102:F106)</f>
        <v>1460</v>
      </c>
      <c r="G108" s="310">
        <f t="shared" si="10"/>
        <v>0</v>
      </c>
      <c r="H108" s="308">
        <f t="shared" si="10"/>
        <v>60710.883146914508</v>
      </c>
      <c r="I108" s="308">
        <f t="shared" si="10"/>
        <v>58889.556652507075</v>
      </c>
      <c r="J108" s="308">
        <f t="shared" si="10"/>
        <v>0</v>
      </c>
      <c r="K108" s="308">
        <f t="shared" si="10"/>
        <v>119600.43979942158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635000</v>
      </c>
      <c r="G111" s="314"/>
    </row>
    <row r="112" spans="1:11" ht="18" customHeight="1" x14ac:dyDescent="0.4">
      <c r="B112" s="95"/>
      <c r="E112" s="95"/>
    </row>
    <row r="113" spans="1:7" ht="18" customHeight="1" x14ac:dyDescent="0.4">
      <c r="A113" s="98"/>
      <c r="B113" s="95" t="s">
        <v>15</v>
      </c>
    </row>
    <row r="114" spans="1:7" s="416" customFormat="1" ht="18" customHeight="1" x14ac:dyDescent="0.4">
      <c r="A114" s="362" t="s">
        <v>171</v>
      </c>
      <c r="B114" s="528" t="s">
        <v>35</v>
      </c>
      <c r="F114" s="425">
        <v>0.67</v>
      </c>
      <c r="G114" s="529"/>
    </row>
    <row r="115" spans="1:7" ht="18" customHeight="1" x14ac:dyDescent="0.4">
      <c r="A115" s="1"/>
      <c r="B115" s="95"/>
    </row>
    <row r="116" spans="1:7" ht="18" customHeight="1" x14ac:dyDescent="0.4">
      <c r="A116" s="1" t="s">
        <v>170</v>
      </c>
      <c r="B116" s="95" t="s">
        <v>16</v>
      </c>
    </row>
    <row r="117" spans="1:7" ht="18" customHeight="1" x14ac:dyDescent="0.4">
      <c r="A117" s="1" t="s">
        <v>172</v>
      </c>
      <c r="B117" s="94" t="s">
        <v>17</v>
      </c>
      <c r="F117" s="307">
        <v>36172000</v>
      </c>
      <c r="G117" s="314"/>
    </row>
    <row r="118" spans="1:7" ht="18" customHeight="1" x14ac:dyDescent="0.4">
      <c r="A118" s="1" t="s">
        <v>173</v>
      </c>
      <c r="B118" t="s">
        <v>18</v>
      </c>
      <c r="F118" s="307">
        <v>5991000</v>
      </c>
      <c r="G118" s="314"/>
    </row>
    <row r="119" spans="1:7" ht="18" customHeight="1" x14ac:dyDescent="0.4">
      <c r="A119" s="1" t="s">
        <v>174</v>
      </c>
      <c r="B119" s="95" t="s">
        <v>19</v>
      </c>
      <c r="F119" s="308">
        <f>SUM(F117:F118)</f>
        <v>42163000</v>
      </c>
    </row>
    <row r="120" spans="1:7" ht="18" customHeight="1" x14ac:dyDescent="0.4">
      <c r="A120" s="1"/>
      <c r="B120" s="95"/>
    </row>
    <row r="121" spans="1:7" ht="18" customHeight="1" x14ac:dyDescent="0.4">
      <c r="A121" s="1" t="s">
        <v>167</v>
      </c>
      <c r="B121" s="95" t="s">
        <v>36</v>
      </c>
      <c r="F121" s="307">
        <v>43821000</v>
      </c>
      <c r="G121" s="314"/>
    </row>
    <row r="122" spans="1:7" ht="18" customHeight="1" x14ac:dyDescent="0.4">
      <c r="A122" s="1"/>
    </row>
    <row r="123" spans="1:7" ht="18" customHeight="1" x14ac:dyDescent="0.4">
      <c r="A123" s="1" t="s">
        <v>175</v>
      </c>
      <c r="B123" s="95" t="s">
        <v>20</v>
      </c>
      <c r="F123" s="307">
        <v>-1659000</v>
      </c>
      <c r="G123" s="314"/>
    </row>
    <row r="124" spans="1:7" ht="18" customHeight="1" x14ac:dyDescent="0.4">
      <c r="A124" s="1"/>
    </row>
    <row r="125" spans="1:7" ht="18" customHeight="1" x14ac:dyDescent="0.4">
      <c r="A125" s="1" t="s">
        <v>176</v>
      </c>
      <c r="B125" s="95" t="s">
        <v>21</v>
      </c>
      <c r="F125" s="307">
        <v>-45000</v>
      </c>
      <c r="G125" s="314"/>
    </row>
    <row r="126" spans="1:7" ht="18" customHeight="1" x14ac:dyDescent="0.4">
      <c r="A126" s="1"/>
    </row>
    <row r="127" spans="1:7" ht="18" customHeight="1" x14ac:dyDescent="0.4">
      <c r="A127" s="1" t="s">
        <v>177</v>
      </c>
      <c r="B127" s="95" t="s">
        <v>22</v>
      </c>
      <c r="F127" s="307">
        <f>+F123+F125</f>
        <v>-1704000</v>
      </c>
    </row>
    <row r="128" spans="1:7"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1">SUM(F131:F135)</f>
        <v>0</v>
      </c>
      <c r="G137" s="310">
        <f t="shared" si="11"/>
        <v>0</v>
      </c>
      <c r="H137" s="308">
        <f t="shared" si="11"/>
        <v>0</v>
      </c>
      <c r="I137" s="308">
        <f t="shared" si="11"/>
        <v>0</v>
      </c>
      <c r="J137" s="308">
        <f t="shared" si="11"/>
        <v>0</v>
      </c>
      <c r="K137" s="308">
        <f t="shared" si="11"/>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2">F36</f>
        <v>747</v>
      </c>
      <c r="G141" s="109">
        <f t="shared" si="12"/>
        <v>522</v>
      </c>
      <c r="H141" s="217">
        <f t="shared" si="12"/>
        <v>50573.349116948732</v>
      </c>
      <c r="I141" s="217">
        <f t="shared" si="12"/>
        <v>15331.742148935171</v>
      </c>
      <c r="J141" s="217">
        <f t="shared" si="12"/>
        <v>0</v>
      </c>
      <c r="K141" s="217">
        <f t="shared" si="12"/>
        <v>65905.091265883893</v>
      </c>
    </row>
    <row r="142" spans="1:11" ht="18" customHeight="1" x14ac:dyDescent="0.4">
      <c r="A142" s="1" t="s">
        <v>142</v>
      </c>
      <c r="B142" s="95" t="s">
        <v>65</v>
      </c>
      <c r="F142" s="109">
        <f t="shared" ref="F142:K142" si="13">F49</f>
        <v>0</v>
      </c>
      <c r="G142" s="109">
        <f t="shared" si="13"/>
        <v>0</v>
      </c>
      <c r="H142" s="217">
        <f t="shared" si="13"/>
        <v>0</v>
      </c>
      <c r="I142" s="217">
        <f t="shared" si="13"/>
        <v>0</v>
      </c>
      <c r="J142" s="217">
        <f t="shared" si="13"/>
        <v>0</v>
      </c>
      <c r="K142" s="217">
        <f t="shared" si="13"/>
        <v>0</v>
      </c>
    </row>
    <row r="143" spans="1:11" ht="18" customHeight="1" x14ac:dyDescent="0.4">
      <c r="A143" s="1" t="s">
        <v>144</v>
      </c>
      <c r="B143" s="95" t="s">
        <v>66</v>
      </c>
      <c r="F143" s="109">
        <f t="shared" ref="F143:K143" si="14">F64</f>
        <v>1129</v>
      </c>
      <c r="G143" s="109">
        <f t="shared" si="14"/>
        <v>219</v>
      </c>
      <c r="H143" s="217">
        <f t="shared" si="14"/>
        <v>8926586.8466666676</v>
      </c>
      <c r="I143" s="217">
        <f t="shared" si="14"/>
        <v>856981</v>
      </c>
      <c r="J143" s="217">
        <f t="shared" si="14"/>
        <v>0</v>
      </c>
      <c r="K143" s="217">
        <f t="shared" si="14"/>
        <v>9783567.8466666676</v>
      </c>
    </row>
    <row r="144" spans="1:11" ht="18" customHeight="1" x14ac:dyDescent="0.4">
      <c r="A144" s="1" t="s">
        <v>146</v>
      </c>
      <c r="B144" s="95" t="s">
        <v>67</v>
      </c>
      <c r="F144" s="109">
        <f t="shared" ref="F144:K144" si="15">F74</f>
        <v>0</v>
      </c>
      <c r="G144" s="109">
        <f t="shared" si="15"/>
        <v>0</v>
      </c>
      <c r="H144" s="217">
        <f t="shared" si="15"/>
        <v>0</v>
      </c>
      <c r="I144" s="217">
        <f t="shared" si="15"/>
        <v>0</v>
      </c>
      <c r="J144" s="217">
        <f t="shared" si="15"/>
        <v>0</v>
      </c>
      <c r="K144" s="217">
        <f t="shared" si="15"/>
        <v>0</v>
      </c>
    </row>
    <row r="145" spans="1:11" ht="18" customHeight="1" x14ac:dyDescent="0.4">
      <c r="A145" s="1" t="s">
        <v>148</v>
      </c>
      <c r="B145" s="95" t="s">
        <v>68</v>
      </c>
      <c r="F145" s="109">
        <f t="shared" ref="F145:K145" si="16">F82</f>
        <v>0</v>
      </c>
      <c r="G145" s="109">
        <f t="shared" si="16"/>
        <v>0</v>
      </c>
      <c r="H145" s="217">
        <f t="shared" si="16"/>
        <v>0</v>
      </c>
      <c r="I145" s="217">
        <f t="shared" si="16"/>
        <v>0</v>
      </c>
      <c r="J145" s="217">
        <f t="shared" si="16"/>
        <v>0</v>
      </c>
      <c r="K145" s="217">
        <f t="shared" si="16"/>
        <v>0</v>
      </c>
    </row>
    <row r="146" spans="1:11" ht="18" customHeight="1" x14ac:dyDescent="0.4">
      <c r="A146" s="1" t="s">
        <v>150</v>
      </c>
      <c r="B146" s="95" t="s">
        <v>69</v>
      </c>
      <c r="F146" s="109">
        <f t="shared" ref="F146:K146" si="17">F98</f>
        <v>139</v>
      </c>
      <c r="G146" s="109">
        <f t="shared" si="17"/>
        <v>0</v>
      </c>
      <c r="H146" s="217">
        <f t="shared" si="17"/>
        <v>6780.0087379596698</v>
      </c>
      <c r="I146" s="217">
        <f t="shared" si="17"/>
        <v>6150.3965145444854</v>
      </c>
      <c r="J146" s="217">
        <f t="shared" si="17"/>
        <v>0</v>
      </c>
      <c r="K146" s="217">
        <f t="shared" si="17"/>
        <v>12930.405252504155</v>
      </c>
    </row>
    <row r="147" spans="1:11" ht="18" customHeight="1" x14ac:dyDescent="0.4">
      <c r="A147" s="1" t="s">
        <v>153</v>
      </c>
      <c r="B147" s="95" t="s">
        <v>61</v>
      </c>
      <c r="F147" s="310">
        <f t="shared" ref="F147:K147" si="18">F108</f>
        <v>1460</v>
      </c>
      <c r="G147" s="310">
        <f t="shared" si="18"/>
        <v>0</v>
      </c>
      <c r="H147" s="351">
        <f t="shared" si="18"/>
        <v>60710.883146914508</v>
      </c>
      <c r="I147" s="351">
        <f t="shared" si="18"/>
        <v>58889.556652507075</v>
      </c>
      <c r="J147" s="351">
        <f t="shared" si="18"/>
        <v>0</v>
      </c>
      <c r="K147" s="351">
        <f t="shared" si="18"/>
        <v>119600.43979942158</v>
      </c>
    </row>
    <row r="148" spans="1:11" ht="18" customHeight="1" x14ac:dyDescent="0.4">
      <c r="A148" s="1" t="s">
        <v>155</v>
      </c>
      <c r="B148" s="95" t="s">
        <v>70</v>
      </c>
      <c r="F148" s="110" t="s">
        <v>73</v>
      </c>
      <c r="G148" s="110" t="s">
        <v>73</v>
      </c>
      <c r="H148" s="111" t="s">
        <v>73</v>
      </c>
      <c r="I148" s="111" t="s">
        <v>73</v>
      </c>
      <c r="J148" s="111" t="s">
        <v>73</v>
      </c>
      <c r="K148" s="106">
        <f>F111</f>
        <v>635000</v>
      </c>
    </row>
    <row r="149" spans="1:11" ht="18" customHeight="1" x14ac:dyDescent="0.4">
      <c r="A149" s="1" t="s">
        <v>163</v>
      </c>
      <c r="B149" s="95" t="s">
        <v>71</v>
      </c>
      <c r="F149" s="310">
        <f t="shared" ref="F149:K149" si="19">F137</f>
        <v>0</v>
      </c>
      <c r="G149" s="310">
        <f t="shared" si="19"/>
        <v>0</v>
      </c>
      <c r="H149" s="351">
        <f t="shared" si="19"/>
        <v>0</v>
      </c>
      <c r="I149" s="351">
        <f t="shared" si="19"/>
        <v>0</v>
      </c>
      <c r="J149" s="351">
        <f t="shared" si="19"/>
        <v>0</v>
      </c>
      <c r="K149" s="351">
        <f t="shared" si="19"/>
        <v>0</v>
      </c>
    </row>
    <row r="150" spans="1:11" ht="18" customHeight="1" x14ac:dyDescent="0.4">
      <c r="A150" s="1" t="s">
        <v>185</v>
      </c>
      <c r="B150" s="95" t="s">
        <v>186</v>
      </c>
      <c r="F150" s="110" t="s">
        <v>73</v>
      </c>
      <c r="G150" s="110" t="s">
        <v>73</v>
      </c>
      <c r="H150" s="351">
        <f>H18</f>
        <v>941806.55</v>
      </c>
      <c r="I150" s="351">
        <f>I18</f>
        <v>0</v>
      </c>
      <c r="J150" s="351">
        <f>J18</f>
        <v>780541.16</v>
      </c>
      <c r="K150" s="351">
        <f>K18</f>
        <v>161265.39000000001</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0">SUM(F141:F150)</f>
        <v>3475</v>
      </c>
      <c r="G152" s="114">
        <f t="shared" si="20"/>
        <v>741</v>
      </c>
      <c r="H152" s="417">
        <f t="shared" si="20"/>
        <v>9986457.6376684904</v>
      </c>
      <c r="I152" s="417">
        <f t="shared" si="20"/>
        <v>937352.69531598676</v>
      </c>
      <c r="J152" s="417">
        <f t="shared" si="20"/>
        <v>780541.16</v>
      </c>
      <c r="K152" s="417">
        <f t="shared" si="20"/>
        <v>10778269.172984477</v>
      </c>
    </row>
    <row r="154" spans="1:11" ht="18" customHeight="1" x14ac:dyDescent="0.4">
      <c r="A154" s="98" t="s">
        <v>168</v>
      </c>
      <c r="B154" s="95" t="s">
        <v>28</v>
      </c>
      <c r="F154" s="318">
        <f>K152/F121</f>
        <v>0.24596127822241567</v>
      </c>
    </row>
    <row r="155" spans="1:11" ht="18" customHeight="1" x14ac:dyDescent="0.4">
      <c r="A155" s="98" t="s">
        <v>169</v>
      </c>
      <c r="B155" s="95" t="s">
        <v>72</v>
      </c>
      <c r="F155" s="318">
        <f>K152/F127</f>
        <v>-6.3252753362584961</v>
      </c>
      <c r="G155" s="95"/>
    </row>
    <row r="156" spans="1:11" ht="18" customHeight="1" x14ac:dyDescent="0.4">
      <c r="G156" s="95"/>
    </row>
  </sheetData>
  <mergeCells count="30">
    <mergeCell ref="D2:H2"/>
    <mergeCell ref="B59:D59"/>
    <mergeCell ref="B135:D135"/>
    <mergeCell ref="B96:D96"/>
    <mergeCell ref="B103:C103"/>
    <mergeCell ref="B104:D104"/>
    <mergeCell ref="B105:D105"/>
    <mergeCell ref="B106:D106"/>
    <mergeCell ref="B133:D133"/>
    <mergeCell ref="C5:G5"/>
    <mergeCell ref="C6:G6"/>
    <mergeCell ref="C7:G7"/>
    <mergeCell ref="B134:D134"/>
    <mergeCell ref="C9:G9"/>
    <mergeCell ref="C10:G10"/>
    <mergeCell ref="B30:D30"/>
    <mergeCell ref="B95:D95"/>
    <mergeCell ref="B45:D45"/>
    <mergeCell ref="B46:D46"/>
    <mergeCell ref="B47:D47"/>
    <mergeCell ref="B52:C52"/>
    <mergeCell ref="B62:D62"/>
    <mergeCell ref="B90:C90"/>
    <mergeCell ref="B94:D94"/>
    <mergeCell ref="B44:D44"/>
    <mergeCell ref="B31:D31"/>
    <mergeCell ref="B34:D34"/>
    <mergeCell ref="B41:C41"/>
    <mergeCell ref="C11:G11"/>
    <mergeCell ref="B13:H13"/>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dimension ref="A1:K156"/>
  <sheetViews>
    <sheetView showGridLines="0" topLeftCell="A130" zoomScale="80" zoomScaleNormal="80" zoomScaleSheetLayoutView="80" workbookViewId="0">
      <selection activeCell="H152" sqref="H152"/>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226</v>
      </c>
      <c r="D5" s="666"/>
      <c r="E5" s="666"/>
      <c r="F5" s="666"/>
      <c r="G5" s="667"/>
    </row>
    <row r="6" spans="1:11" ht="18" customHeight="1" x14ac:dyDescent="0.4">
      <c r="B6" s="1" t="s">
        <v>3</v>
      </c>
      <c r="C6" s="779">
        <v>32</v>
      </c>
      <c r="D6" s="669"/>
      <c r="E6" s="669"/>
      <c r="F6" s="669"/>
      <c r="G6" s="670"/>
    </row>
    <row r="7" spans="1:11" ht="18" customHeight="1" x14ac:dyDescent="0.4">
      <c r="B7" s="1" t="s">
        <v>4</v>
      </c>
      <c r="C7" s="689">
        <v>1185</v>
      </c>
      <c r="D7" s="690"/>
      <c r="E7" s="690"/>
      <c r="F7" s="690"/>
      <c r="G7" s="691"/>
    </row>
    <row r="9" spans="1:11" ht="18" customHeight="1" x14ac:dyDescent="0.4">
      <c r="B9" s="1" t="s">
        <v>1</v>
      </c>
      <c r="C9" s="663" t="s">
        <v>763</v>
      </c>
      <c r="D9" s="666"/>
      <c r="E9" s="666"/>
      <c r="F9" s="666"/>
      <c r="G9" s="667"/>
    </row>
    <row r="10" spans="1:11" ht="18" customHeight="1" x14ac:dyDescent="0.4">
      <c r="B10" s="1" t="s">
        <v>2</v>
      </c>
      <c r="C10" s="660" t="s">
        <v>764</v>
      </c>
      <c r="D10" s="661"/>
      <c r="E10" s="661"/>
      <c r="F10" s="661"/>
      <c r="G10" s="662"/>
    </row>
    <row r="11" spans="1:11" ht="18" customHeight="1" x14ac:dyDescent="0.4">
      <c r="B11" s="1" t="s">
        <v>32</v>
      </c>
      <c r="C11" s="692" t="s">
        <v>765</v>
      </c>
      <c r="D11" s="745"/>
      <c r="E11" s="745"/>
      <c r="F11" s="745"/>
      <c r="G11" s="745"/>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3078468.29</v>
      </c>
      <c r="I18" s="115">
        <v>0</v>
      </c>
      <c r="J18" s="307">
        <v>2551342.64</v>
      </c>
      <c r="K18" s="308">
        <f>(H18+I18)-J18</f>
        <v>527125.64999999991</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307.60000000000002</v>
      </c>
      <c r="G21" s="306">
        <v>2032</v>
      </c>
      <c r="H21" s="307">
        <v>12018</v>
      </c>
      <c r="I21" s="115">
        <v>2894</v>
      </c>
      <c r="J21" s="307"/>
      <c r="K21" s="308">
        <f t="shared" ref="K21:K34" si="0">(H21+I21)-J21</f>
        <v>14912</v>
      </c>
    </row>
    <row r="22" spans="1:11" ht="18" customHeight="1" x14ac:dyDescent="0.4">
      <c r="A22" s="1" t="s">
        <v>76</v>
      </c>
      <c r="B22" t="s">
        <v>6</v>
      </c>
      <c r="F22" s="306"/>
      <c r="G22" s="306"/>
      <c r="H22" s="307"/>
      <c r="I22" s="115">
        <f t="shared" ref="I22:I34" si="1">H22*F$114</f>
        <v>0</v>
      </c>
      <c r="J22" s="307"/>
      <c r="K22" s="308">
        <f t="shared" si="0"/>
        <v>0</v>
      </c>
    </row>
    <row r="23" spans="1:11" ht="18" customHeight="1" x14ac:dyDescent="0.4">
      <c r="A23" s="1" t="s">
        <v>77</v>
      </c>
      <c r="B23" t="s">
        <v>43</v>
      </c>
      <c r="F23" s="306"/>
      <c r="G23" s="306"/>
      <c r="H23" s="307"/>
      <c r="I23" s="115">
        <f t="shared" si="1"/>
        <v>0</v>
      </c>
      <c r="J23" s="307"/>
      <c r="K23" s="308">
        <f t="shared" si="0"/>
        <v>0</v>
      </c>
    </row>
    <row r="24" spans="1:11" ht="18" customHeight="1" x14ac:dyDescent="0.4">
      <c r="A24" s="1" t="s">
        <v>78</v>
      </c>
      <c r="B24" t="s">
        <v>44</v>
      </c>
      <c r="F24" s="306">
        <v>7</v>
      </c>
      <c r="G24" s="306">
        <v>24</v>
      </c>
      <c r="H24" s="307">
        <v>226</v>
      </c>
      <c r="I24" s="115">
        <v>84</v>
      </c>
      <c r="J24" s="307"/>
      <c r="K24" s="308">
        <f t="shared" si="0"/>
        <v>310</v>
      </c>
    </row>
    <row r="25" spans="1:11" ht="18" customHeight="1" x14ac:dyDescent="0.4">
      <c r="A25" s="1" t="s">
        <v>79</v>
      </c>
      <c r="B25" t="s">
        <v>5</v>
      </c>
      <c r="F25" s="306"/>
      <c r="G25" s="306"/>
      <c r="H25" s="307"/>
      <c r="I25" s="115">
        <f t="shared" si="1"/>
        <v>0</v>
      </c>
      <c r="J25" s="307"/>
      <c r="K25" s="308">
        <f t="shared" si="0"/>
        <v>0</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v>144</v>
      </c>
      <c r="G29" s="306">
        <v>333</v>
      </c>
      <c r="H29" s="307">
        <v>6367</v>
      </c>
      <c r="I29" s="115">
        <v>2290</v>
      </c>
      <c r="J29" s="307"/>
      <c r="K29" s="308">
        <f t="shared" si="0"/>
        <v>8657</v>
      </c>
    </row>
    <row r="30" spans="1:11" ht="18" customHeight="1" x14ac:dyDescent="0.4">
      <c r="A30" s="1" t="s">
        <v>84</v>
      </c>
      <c r="B30" s="630" t="s">
        <v>627</v>
      </c>
      <c r="C30" s="631"/>
      <c r="D30" s="632"/>
      <c r="F30" s="306"/>
      <c r="G30" s="306"/>
      <c r="H30" s="307">
        <v>5147</v>
      </c>
      <c r="I30" s="115">
        <v>0</v>
      </c>
      <c r="J30" s="307"/>
      <c r="K30" s="308">
        <f t="shared" si="0"/>
        <v>5147</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458.6</v>
      </c>
      <c r="G36" s="310">
        <f t="shared" si="2"/>
        <v>2389</v>
      </c>
      <c r="H36" s="310">
        <f t="shared" si="2"/>
        <v>23758</v>
      </c>
      <c r="I36" s="308">
        <f t="shared" si="2"/>
        <v>5268</v>
      </c>
      <c r="J36" s="308">
        <f t="shared" si="2"/>
        <v>0</v>
      </c>
      <c r="K36" s="308">
        <f t="shared" si="2"/>
        <v>29026</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2031.9</v>
      </c>
      <c r="G40" s="306">
        <v>185</v>
      </c>
      <c r="H40" s="307">
        <v>84075</v>
      </c>
      <c r="I40" s="115">
        <v>31108</v>
      </c>
      <c r="J40" s="307"/>
      <c r="K40" s="308">
        <f t="shared" ref="K40:K47" si="3">(H40+I40)-J40</f>
        <v>115183</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2031.9</v>
      </c>
      <c r="G49" s="312">
        <f t="shared" si="4"/>
        <v>185</v>
      </c>
      <c r="H49" s="308">
        <f t="shared" si="4"/>
        <v>84075</v>
      </c>
      <c r="I49" s="308">
        <f t="shared" si="4"/>
        <v>31108</v>
      </c>
      <c r="J49" s="308">
        <f t="shared" si="4"/>
        <v>0</v>
      </c>
      <c r="K49" s="308">
        <f t="shared" si="4"/>
        <v>115183</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c r="C53" s="659"/>
      <c r="D53" s="654"/>
      <c r="F53" s="306"/>
      <c r="G53" s="306"/>
      <c r="H53" s="307"/>
      <c r="I53" s="115">
        <v>0</v>
      </c>
      <c r="J53" s="307"/>
      <c r="K53" s="308">
        <f t="shared" ref="K53:K62" si="5">(H53+I53)-J53</f>
        <v>0</v>
      </c>
    </row>
    <row r="54" spans="1:11" ht="18" customHeight="1" x14ac:dyDescent="0.4">
      <c r="A54" s="1" t="s">
        <v>93</v>
      </c>
      <c r="B54" s="400"/>
      <c r="C54" s="401"/>
      <c r="D54" s="402"/>
      <c r="F54" s="306"/>
      <c r="G54" s="306"/>
      <c r="H54" s="307"/>
      <c r="I54" s="115">
        <v>0</v>
      </c>
      <c r="J54" s="307"/>
      <c r="K54" s="308">
        <f t="shared" si="5"/>
        <v>0</v>
      </c>
    </row>
    <row r="55" spans="1:11" ht="18" customHeight="1" x14ac:dyDescent="0.4">
      <c r="A55" s="1" t="s">
        <v>94</v>
      </c>
      <c r="B55" s="655" t="s">
        <v>296</v>
      </c>
      <c r="C55" s="653"/>
      <c r="D55" s="654"/>
      <c r="F55" s="306"/>
      <c r="G55" s="306"/>
      <c r="H55" s="307">
        <v>15372683</v>
      </c>
      <c r="I55" s="115">
        <v>0</v>
      </c>
      <c r="J55" s="307">
        <v>6668023</v>
      </c>
      <c r="K55" s="308">
        <f t="shared" si="5"/>
        <v>8704660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t="s">
        <v>304</v>
      </c>
      <c r="C59" s="653"/>
      <c r="D59" s="654"/>
      <c r="F59" s="306">
        <v>5545.4</v>
      </c>
      <c r="G59" s="306">
        <v>37</v>
      </c>
      <c r="H59" s="307">
        <v>322034</v>
      </c>
      <c r="I59" s="115">
        <v>0</v>
      </c>
      <c r="J59" s="307">
        <v>219008</v>
      </c>
      <c r="K59" s="308">
        <f t="shared" si="5"/>
        <v>103026</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t="s">
        <v>341</v>
      </c>
      <c r="C61" s="401"/>
      <c r="D61" s="402"/>
      <c r="F61" s="306"/>
      <c r="G61" s="306"/>
      <c r="H61" s="307">
        <v>3264</v>
      </c>
      <c r="I61" s="115">
        <v>0</v>
      </c>
      <c r="J61" s="307"/>
      <c r="K61" s="308">
        <f t="shared" si="5"/>
        <v>3264</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5545.4</v>
      </c>
      <c r="G64" s="310">
        <f t="shared" si="6"/>
        <v>37</v>
      </c>
      <c r="H64" s="308">
        <f t="shared" si="6"/>
        <v>15697981</v>
      </c>
      <c r="I64" s="308">
        <f t="shared" si="6"/>
        <v>0</v>
      </c>
      <c r="J64" s="308">
        <f t="shared" si="6"/>
        <v>6887031</v>
      </c>
      <c r="K64" s="308">
        <f t="shared" si="6"/>
        <v>8810950</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v>14205</v>
      </c>
      <c r="I68" s="115">
        <v>0</v>
      </c>
      <c r="J68" s="313"/>
      <c r="K68" s="308">
        <f>(H68+I68)-J68</f>
        <v>14205</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14205</v>
      </c>
      <c r="I74" s="412">
        <f t="shared" si="7"/>
        <v>0</v>
      </c>
      <c r="J74" s="411">
        <f t="shared" si="7"/>
        <v>0</v>
      </c>
      <c r="K74" s="308">
        <f t="shared" si="7"/>
        <v>14205</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2319</v>
      </c>
      <c r="G79" s="306">
        <v>24298</v>
      </c>
      <c r="H79" s="307">
        <v>279796</v>
      </c>
      <c r="I79" s="115">
        <v>46</v>
      </c>
      <c r="J79" s="307">
        <v>172024</v>
      </c>
      <c r="K79" s="308">
        <f>(H79+I79)-J79</f>
        <v>107818</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2319</v>
      </c>
      <c r="G82" s="411">
        <f t="shared" si="8"/>
        <v>24298</v>
      </c>
      <c r="H82" s="308">
        <f t="shared" si="8"/>
        <v>279796</v>
      </c>
      <c r="I82" s="308">
        <f t="shared" si="8"/>
        <v>46</v>
      </c>
      <c r="J82" s="308">
        <f t="shared" si="8"/>
        <v>172024</v>
      </c>
      <c r="K82" s="308">
        <f t="shared" si="8"/>
        <v>107818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v>36</v>
      </c>
      <c r="G87" s="306"/>
      <c r="H87" s="307">
        <v>12798</v>
      </c>
      <c r="I87" s="115">
        <v>0</v>
      </c>
      <c r="J87" s="307"/>
      <c r="K87" s="308">
        <f t="shared" si="10"/>
        <v>12798</v>
      </c>
    </row>
    <row r="88" spans="1:11" ht="18" customHeight="1" x14ac:dyDescent="0.4">
      <c r="A88" s="1" t="s">
        <v>115</v>
      </c>
      <c r="B88" s="94" t="s">
        <v>116</v>
      </c>
      <c r="F88" s="306">
        <v>20</v>
      </c>
      <c r="G88" s="306"/>
      <c r="H88" s="307">
        <v>7110</v>
      </c>
      <c r="I88" s="115">
        <v>0</v>
      </c>
      <c r="J88" s="307"/>
      <c r="K88" s="308">
        <f t="shared" si="10"/>
        <v>7110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c r="G91" s="306"/>
      <c r="H91" s="307"/>
      <c r="I91" s="115">
        <f t="shared" si="9"/>
        <v>0</v>
      </c>
      <c r="J91" s="307"/>
      <c r="K91" s="308">
        <f t="shared" si="10"/>
        <v>0</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56</v>
      </c>
      <c r="G98" s="310">
        <f t="shared" si="11"/>
        <v>0</v>
      </c>
      <c r="H98" s="310">
        <f t="shared" si="11"/>
        <v>19908</v>
      </c>
      <c r="I98" s="310">
        <f t="shared" si="11"/>
        <v>0</v>
      </c>
      <c r="J98" s="310">
        <f t="shared" si="11"/>
        <v>0</v>
      </c>
      <c r="K98" s="310">
        <f t="shared" si="11"/>
        <v>19908</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893</v>
      </c>
      <c r="G102" s="306"/>
      <c r="H102" s="307">
        <v>37931</v>
      </c>
      <c r="I102" s="115">
        <v>0</v>
      </c>
      <c r="J102" s="307"/>
      <c r="K102" s="308">
        <f>(H102+I102)-J102</f>
        <v>37931</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t="s">
        <v>298</v>
      </c>
      <c r="C104" s="653"/>
      <c r="D104" s="654"/>
      <c r="F104" s="306"/>
      <c r="G104" s="306"/>
      <c r="H104" s="307">
        <v>15730</v>
      </c>
      <c r="I104" s="115">
        <v>0</v>
      </c>
      <c r="J104" s="307"/>
      <c r="K104" s="308">
        <f>(H104+I104)-J104</f>
        <v>15730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893</v>
      </c>
      <c r="G108" s="310">
        <f t="shared" si="12"/>
        <v>0</v>
      </c>
      <c r="H108" s="308">
        <f t="shared" si="12"/>
        <v>53661</v>
      </c>
      <c r="I108" s="308">
        <f t="shared" si="12"/>
        <v>0</v>
      </c>
      <c r="J108" s="308">
        <f t="shared" si="12"/>
        <v>0</v>
      </c>
      <c r="K108" s="308">
        <f t="shared" si="12"/>
        <v>53661</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1432729</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3.7000000000000002E-3</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149864743</v>
      </c>
    </row>
    <row r="118" spans="1:6" ht="18" customHeight="1" x14ac:dyDescent="0.4">
      <c r="A118" s="1" t="s">
        <v>173</v>
      </c>
      <c r="B118" t="s">
        <v>18</v>
      </c>
      <c r="F118" s="307">
        <v>6502097</v>
      </c>
    </row>
    <row r="119" spans="1:6" ht="18" customHeight="1" x14ac:dyDescent="0.4">
      <c r="A119" s="1" t="s">
        <v>174</v>
      </c>
      <c r="B119" s="95" t="s">
        <v>19</v>
      </c>
      <c r="F119" s="308">
        <f>SUM(F117:F118)</f>
        <v>156366840</v>
      </c>
    </row>
    <row r="120" spans="1:6" ht="18" customHeight="1" x14ac:dyDescent="0.4">
      <c r="A120" s="1"/>
      <c r="B120" s="95"/>
    </row>
    <row r="121" spans="1:6" ht="18" customHeight="1" x14ac:dyDescent="0.4">
      <c r="A121" s="1" t="s">
        <v>167</v>
      </c>
      <c r="B121" s="95" t="s">
        <v>36</v>
      </c>
      <c r="F121" s="307">
        <v>159947807</v>
      </c>
    </row>
    <row r="122" spans="1:6" ht="18" customHeight="1" x14ac:dyDescent="0.4">
      <c r="A122" s="1"/>
    </row>
    <row r="123" spans="1:6" ht="18" customHeight="1" x14ac:dyDescent="0.4">
      <c r="A123" s="1" t="s">
        <v>175</v>
      </c>
      <c r="B123" s="95" t="s">
        <v>20</v>
      </c>
      <c r="F123" s="307">
        <v>-3580967</v>
      </c>
    </row>
    <row r="124" spans="1:6" ht="18" customHeight="1" x14ac:dyDescent="0.4">
      <c r="A124" s="1"/>
    </row>
    <row r="125" spans="1:6" ht="18" customHeight="1" x14ac:dyDescent="0.4">
      <c r="A125" s="1" t="s">
        <v>176</v>
      </c>
      <c r="B125" s="95" t="s">
        <v>21</v>
      </c>
      <c r="F125" s="307">
        <v>2559766</v>
      </c>
    </row>
    <row r="126" spans="1:6" ht="18" customHeight="1" x14ac:dyDescent="0.4">
      <c r="A126" s="1"/>
    </row>
    <row r="127" spans="1:6" ht="18" customHeight="1" x14ac:dyDescent="0.4">
      <c r="A127" s="1" t="s">
        <v>177</v>
      </c>
      <c r="B127" s="95" t="s">
        <v>22</v>
      </c>
      <c r="F127" s="307">
        <v>-1021201</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458.6</v>
      </c>
      <c r="G141" s="109">
        <f t="shared" si="14"/>
        <v>2389</v>
      </c>
      <c r="H141" s="109">
        <f t="shared" si="14"/>
        <v>23758</v>
      </c>
      <c r="I141" s="109">
        <f t="shared" si="14"/>
        <v>5268</v>
      </c>
      <c r="J141" s="109">
        <f t="shared" si="14"/>
        <v>0</v>
      </c>
      <c r="K141" s="109">
        <f t="shared" si="14"/>
        <v>29026</v>
      </c>
    </row>
    <row r="142" spans="1:11" ht="18" customHeight="1" x14ac:dyDescent="0.4">
      <c r="A142" s="1" t="s">
        <v>142</v>
      </c>
      <c r="B142" s="95" t="s">
        <v>65</v>
      </c>
      <c r="F142" s="109">
        <f t="shared" ref="F142:K142" si="15">F49</f>
        <v>2031.9</v>
      </c>
      <c r="G142" s="109">
        <f t="shared" si="15"/>
        <v>185</v>
      </c>
      <c r="H142" s="109">
        <f t="shared" si="15"/>
        <v>84075</v>
      </c>
      <c r="I142" s="109">
        <f t="shared" si="15"/>
        <v>31108</v>
      </c>
      <c r="J142" s="109">
        <f t="shared" si="15"/>
        <v>0</v>
      </c>
      <c r="K142" s="109">
        <f t="shared" si="15"/>
        <v>115183</v>
      </c>
    </row>
    <row r="143" spans="1:11" ht="18" customHeight="1" x14ac:dyDescent="0.4">
      <c r="A143" s="1" t="s">
        <v>144</v>
      </c>
      <c r="B143" s="95" t="s">
        <v>66</v>
      </c>
      <c r="F143" s="109">
        <f t="shared" ref="F143:K143" si="16">F64</f>
        <v>5545.4</v>
      </c>
      <c r="G143" s="109">
        <f t="shared" si="16"/>
        <v>37</v>
      </c>
      <c r="H143" s="109">
        <f t="shared" si="16"/>
        <v>15697981</v>
      </c>
      <c r="I143" s="109">
        <f t="shared" si="16"/>
        <v>0</v>
      </c>
      <c r="J143" s="109">
        <f t="shared" si="16"/>
        <v>6887031</v>
      </c>
      <c r="K143" s="109">
        <f t="shared" si="16"/>
        <v>8810950</v>
      </c>
    </row>
    <row r="144" spans="1:11" ht="18" customHeight="1" x14ac:dyDescent="0.4">
      <c r="A144" s="1" t="s">
        <v>146</v>
      </c>
      <c r="B144" s="95" t="s">
        <v>67</v>
      </c>
      <c r="F144" s="109">
        <f t="shared" ref="F144:K144" si="17">F74</f>
        <v>0</v>
      </c>
      <c r="G144" s="109">
        <f t="shared" si="17"/>
        <v>0</v>
      </c>
      <c r="H144" s="109">
        <f t="shared" si="17"/>
        <v>14205</v>
      </c>
      <c r="I144" s="109">
        <f t="shared" si="17"/>
        <v>0</v>
      </c>
      <c r="J144" s="109">
        <f t="shared" si="17"/>
        <v>0</v>
      </c>
      <c r="K144" s="109">
        <f t="shared" si="17"/>
        <v>14205</v>
      </c>
    </row>
    <row r="145" spans="1:11" ht="18" customHeight="1" x14ac:dyDescent="0.4">
      <c r="A145" s="1" t="s">
        <v>148</v>
      </c>
      <c r="B145" s="95" t="s">
        <v>68</v>
      </c>
      <c r="F145" s="109">
        <f t="shared" ref="F145:K145" si="18">F82</f>
        <v>2319</v>
      </c>
      <c r="G145" s="109">
        <f t="shared" si="18"/>
        <v>24298</v>
      </c>
      <c r="H145" s="109">
        <f t="shared" si="18"/>
        <v>279796</v>
      </c>
      <c r="I145" s="109">
        <f t="shared" si="18"/>
        <v>46</v>
      </c>
      <c r="J145" s="109">
        <f t="shared" si="18"/>
        <v>172024</v>
      </c>
      <c r="K145" s="109">
        <f t="shared" si="18"/>
        <v>107818</v>
      </c>
    </row>
    <row r="146" spans="1:11" ht="18" customHeight="1" x14ac:dyDescent="0.4">
      <c r="A146" s="1" t="s">
        <v>150</v>
      </c>
      <c r="B146" s="95" t="s">
        <v>69</v>
      </c>
      <c r="F146" s="109">
        <f t="shared" ref="F146:K146" si="19">F98</f>
        <v>56</v>
      </c>
      <c r="G146" s="109">
        <f t="shared" si="19"/>
        <v>0</v>
      </c>
      <c r="H146" s="109">
        <f t="shared" si="19"/>
        <v>19908</v>
      </c>
      <c r="I146" s="109">
        <f t="shared" si="19"/>
        <v>0</v>
      </c>
      <c r="J146" s="109">
        <f t="shared" si="19"/>
        <v>0</v>
      </c>
      <c r="K146" s="109">
        <f t="shared" si="19"/>
        <v>19908</v>
      </c>
    </row>
    <row r="147" spans="1:11" ht="18" customHeight="1" x14ac:dyDescent="0.4">
      <c r="A147" s="1" t="s">
        <v>153</v>
      </c>
      <c r="B147" s="95" t="s">
        <v>61</v>
      </c>
      <c r="F147" s="310">
        <f t="shared" ref="F147:K147" si="20">F108</f>
        <v>893</v>
      </c>
      <c r="G147" s="310">
        <f t="shared" si="20"/>
        <v>0</v>
      </c>
      <c r="H147" s="310">
        <f t="shared" si="20"/>
        <v>53661</v>
      </c>
      <c r="I147" s="310">
        <f t="shared" si="20"/>
        <v>0</v>
      </c>
      <c r="J147" s="310">
        <f t="shared" si="20"/>
        <v>0</v>
      </c>
      <c r="K147" s="310">
        <f t="shared" si="20"/>
        <v>53661</v>
      </c>
    </row>
    <row r="148" spans="1:11" ht="18" customHeight="1" x14ac:dyDescent="0.4">
      <c r="A148" s="1" t="s">
        <v>155</v>
      </c>
      <c r="B148" s="95" t="s">
        <v>70</v>
      </c>
      <c r="F148" s="110" t="s">
        <v>73</v>
      </c>
      <c r="G148" s="110" t="s">
        <v>73</v>
      </c>
      <c r="H148" s="111" t="s">
        <v>73</v>
      </c>
      <c r="I148" s="111" t="s">
        <v>73</v>
      </c>
      <c r="J148" s="111" t="s">
        <v>73</v>
      </c>
      <c r="K148" s="106">
        <f>F111</f>
        <v>1432729</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3078468.29</v>
      </c>
      <c r="I150" s="310">
        <f>I18</f>
        <v>0</v>
      </c>
      <c r="J150" s="310">
        <f>J18</f>
        <v>2551342.64</v>
      </c>
      <c r="K150" s="310">
        <f>K18</f>
        <v>527125.64999999991</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11303.9</v>
      </c>
      <c r="G152" s="114">
        <f t="shared" si="22"/>
        <v>26909</v>
      </c>
      <c r="H152" s="114">
        <f t="shared" si="22"/>
        <v>19251852.289999999</v>
      </c>
      <c r="I152" s="114">
        <f t="shared" si="22"/>
        <v>36422</v>
      </c>
      <c r="J152" s="114">
        <f t="shared" si="22"/>
        <v>9610397.6400000006</v>
      </c>
      <c r="K152" s="114">
        <f t="shared" si="22"/>
        <v>11110605.65</v>
      </c>
    </row>
    <row r="154" spans="1:11" ht="18" customHeight="1" x14ac:dyDescent="0.4">
      <c r="A154" s="98" t="s">
        <v>168</v>
      </c>
      <c r="B154" s="95" t="s">
        <v>28</v>
      </c>
      <c r="F154" s="318">
        <f>K152/F121</f>
        <v>6.9463944885471293E-2</v>
      </c>
    </row>
    <row r="155" spans="1:11" ht="18" customHeight="1" x14ac:dyDescent="0.4">
      <c r="A155" s="98" t="s">
        <v>169</v>
      </c>
      <c r="B155" s="95" t="s">
        <v>72</v>
      </c>
      <c r="F155" s="318">
        <f>K152/F127</f>
        <v>-10.879940041186799</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G11" r:id="rId1" display="katie.w.coombes@christianacare.org" xr:uid="{D6816BD8-4A87-4E36-ADBB-BCD40082F90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dimension ref="A1:K156"/>
  <sheetViews>
    <sheetView showGridLines="0" topLeftCell="A130" zoomScale="80" zoomScaleNormal="80" zoomScaleSheetLayoutView="80" workbookViewId="0">
      <selection activeCell="M114" sqref="M114"/>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109375" customWidth="1"/>
    <col min="9" max="9" width="21.109375" customWidth="1"/>
    <col min="10" max="10" width="19.886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401</v>
      </c>
      <c r="D5" s="666"/>
      <c r="E5" s="666"/>
      <c r="F5" s="666"/>
      <c r="G5" s="667"/>
    </row>
    <row r="6" spans="1:11" ht="18" customHeight="1" x14ac:dyDescent="0.4">
      <c r="B6" s="1" t="s">
        <v>3</v>
      </c>
      <c r="C6" s="668" t="s">
        <v>256</v>
      </c>
      <c r="D6" s="669"/>
      <c r="E6" s="669"/>
      <c r="F6" s="669"/>
      <c r="G6" s="670"/>
    </row>
    <row r="7" spans="1:11" ht="18" customHeight="1" x14ac:dyDescent="0.4">
      <c r="B7" s="1" t="s">
        <v>4</v>
      </c>
      <c r="C7" s="686">
        <v>1875</v>
      </c>
      <c r="D7" s="687"/>
      <c r="E7" s="687"/>
      <c r="F7" s="687"/>
      <c r="G7" s="688"/>
    </row>
    <row r="9" spans="1:11" ht="18" customHeight="1" x14ac:dyDescent="0.4">
      <c r="B9" s="1" t="s">
        <v>1</v>
      </c>
      <c r="C9" s="663" t="s">
        <v>766</v>
      </c>
      <c r="D9" s="666"/>
      <c r="E9" s="666"/>
      <c r="F9" s="666"/>
      <c r="G9" s="667"/>
    </row>
    <row r="10" spans="1:11" ht="18" customHeight="1" x14ac:dyDescent="0.4">
      <c r="B10" s="1" t="s">
        <v>2</v>
      </c>
      <c r="C10" s="660" t="s">
        <v>257</v>
      </c>
      <c r="D10" s="661"/>
      <c r="E10" s="661"/>
      <c r="F10" s="661"/>
      <c r="G10" s="662"/>
    </row>
    <row r="11" spans="1:11" ht="18" customHeight="1" x14ac:dyDescent="0.4">
      <c r="B11" s="1" t="s">
        <v>32</v>
      </c>
      <c r="C11" s="692" t="s">
        <v>767</v>
      </c>
      <c r="D11" s="745"/>
      <c r="E11" s="745"/>
      <c r="F11" s="745"/>
      <c r="G11" s="745"/>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4389560.9400000004</v>
      </c>
      <c r="I18" s="115"/>
      <c r="J18" s="307">
        <v>3637937.09</v>
      </c>
      <c r="K18" s="308">
        <f>(H18+I18)-J18</f>
        <v>751623.85000000056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40893</v>
      </c>
      <c r="G21" s="306">
        <v>66547</v>
      </c>
      <c r="H21" s="307">
        <v>1613888</v>
      </c>
      <c r="I21" s="115">
        <f t="shared" ref="I21:I34" si="0">H21*F$114</f>
        <v>806944</v>
      </c>
      <c r="J21" s="307">
        <v>163929</v>
      </c>
      <c r="K21" s="308">
        <f t="shared" ref="K21:K34" si="1">(H21+I21)-J21</f>
        <v>2256903</v>
      </c>
    </row>
    <row r="22" spans="1:11" ht="18" customHeight="1" x14ac:dyDescent="0.4">
      <c r="A22" s="1" t="s">
        <v>76</v>
      </c>
      <c r="B22" t="s">
        <v>6</v>
      </c>
      <c r="F22" s="306">
        <v>70</v>
      </c>
      <c r="G22" s="306">
        <v>1249</v>
      </c>
      <c r="H22" s="307">
        <v>2842</v>
      </c>
      <c r="I22" s="115">
        <f t="shared" si="0"/>
        <v>1421</v>
      </c>
      <c r="J22" s="307"/>
      <c r="K22" s="308">
        <f t="shared" si="1"/>
        <v>4263</v>
      </c>
    </row>
    <row r="23" spans="1:11" ht="18" customHeight="1" x14ac:dyDescent="0.4">
      <c r="A23" s="1" t="s">
        <v>77</v>
      </c>
      <c r="B23" t="s">
        <v>43</v>
      </c>
      <c r="F23" s="306">
        <v>1151</v>
      </c>
      <c r="G23" s="306">
        <v>3675</v>
      </c>
      <c r="H23" s="307">
        <v>96016</v>
      </c>
      <c r="I23" s="115">
        <f t="shared" si="0"/>
        <v>48008</v>
      </c>
      <c r="J23" s="307"/>
      <c r="K23" s="308">
        <f t="shared" si="1"/>
        <v>144024</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c r="G25" s="306">
        <v>1310</v>
      </c>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2157</v>
      </c>
      <c r="G29" s="306">
        <v>2108</v>
      </c>
      <c r="H29" s="307">
        <v>316856</v>
      </c>
      <c r="I29" s="115">
        <f t="shared" si="0"/>
        <v>158428</v>
      </c>
      <c r="J29" s="307"/>
      <c r="K29" s="308">
        <f t="shared" si="1"/>
        <v>475284</v>
      </c>
    </row>
    <row r="30" spans="1:11" ht="18" customHeight="1" x14ac:dyDescent="0.4">
      <c r="A30" s="1" t="s">
        <v>84</v>
      </c>
      <c r="B30" s="780" t="s">
        <v>258</v>
      </c>
      <c r="C30" s="781"/>
      <c r="D30" s="782"/>
      <c r="F30" s="306"/>
      <c r="G30" s="306">
        <v>114</v>
      </c>
      <c r="H30" s="307">
        <v>62468</v>
      </c>
      <c r="I30" s="115">
        <f t="shared" si="0"/>
        <v>31234</v>
      </c>
      <c r="J30" s="307"/>
      <c r="K30" s="308">
        <f t="shared" si="1"/>
        <v>93702</v>
      </c>
    </row>
    <row r="31" spans="1:11" ht="18" customHeight="1" x14ac:dyDescent="0.4">
      <c r="A31" s="1" t="s">
        <v>133</v>
      </c>
      <c r="B31" s="780" t="s">
        <v>259</v>
      </c>
      <c r="C31" s="781"/>
      <c r="D31" s="782"/>
      <c r="F31" s="306">
        <v>1641</v>
      </c>
      <c r="G31" s="306">
        <v>48</v>
      </c>
      <c r="H31" s="307">
        <v>138523</v>
      </c>
      <c r="I31" s="115">
        <f t="shared" si="0"/>
        <v>69261.5</v>
      </c>
      <c r="J31" s="307"/>
      <c r="K31" s="308">
        <f t="shared" si="1"/>
        <v>207784.5</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45912</v>
      </c>
      <c r="G36" s="310">
        <f t="shared" si="2"/>
        <v>75051</v>
      </c>
      <c r="H36" s="310">
        <f t="shared" si="2"/>
        <v>2230593</v>
      </c>
      <c r="I36" s="308">
        <f t="shared" si="2"/>
        <v>1115296.5</v>
      </c>
      <c r="J36" s="308">
        <f t="shared" si="2"/>
        <v>163929</v>
      </c>
      <c r="K36" s="308">
        <f t="shared" si="2"/>
        <v>3181960.5</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v>875</v>
      </c>
      <c r="G41" s="306">
        <v>232</v>
      </c>
      <c r="H41" s="307">
        <v>26906</v>
      </c>
      <c r="I41" s="115">
        <v>0</v>
      </c>
      <c r="J41" s="307"/>
      <c r="K41" s="308">
        <f t="shared" si="3"/>
        <v>26906</v>
      </c>
    </row>
    <row r="42" spans="1:11" ht="18" customHeight="1" x14ac:dyDescent="0.4">
      <c r="A42" s="1" t="s">
        <v>89</v>
      </c>
      <c r="B42" s="94" t="s">
        <v>11</v>
      </c>
      <c r="F42" s="306">
        <v>8660</v>
      </c>
      <c r="G42" s="306">
        <v>104</v>
      </c>
      <c r="H42" s="307">
        <v>266295</v>
      </c>
      <c r="I42" s="115">
        <v>0</v>
      </c>
      <c r="J42" s="307"/>
      <c r="K42" s="308">
        <f t="shared" si="3"/>
        <v>266295</v>
      </c>
    </row>
    <row r="43" spans="1:11" ht="18" customHeight="1" x14ac:dyDescent="0.4">
      <c r="A43" s="1" t="s">
        <v>90</v>
      </c>
      <c r="B43" s="94" t="s">
        <v>10</v>
      </c>
      <c r="F43" s="306">
        <v>12</v>
      </c>
      <c r="G43" s="306">
        <v>5</v>
      </c>
      <c r="H43" s="307">
        <v>13869</v>
      </c>
      <c r="I43" s="115">
        <v>0</v>
      </c>
      <c r="J43" s="307"/>
      <c r="K43" s="308">
        <f t="shared" si="3"/>
        <v>13869</v>
      </c>
    </row>
    <row r="44" spans="1:11" ht="18" customHeight="1" x14ac:dyDescent="0.4">
      <c r="A44" s="1" t="s">
        <v>91</v>
      </c>
      <c r="B44" s="652" t="s">
        <v>260</v>
      </c>
      <c r="C44" s="786"/>
      <c r="D44" s="787"/>
      <c r="F44" s="311">
        <v>72</v>
      </c>
      <c r="G44" s="311">
        <v>28</v>
      </c>
      <c r="H44" s="311">
        <v>1328</v>
      </c>
      <c r="I44" s="116">
        <v>0</v>
      </c>
      <c r="J44" s="311"/>
      <c r="K44" s="353">
        <f t="shared" si="3"/>
        <v>1328</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9619</v>
      </c>
      <c r="G49" s="312">
        <f t="shared" si="4"/>
        <v>369</v>
      </c>
      <c r="H49" s="308">
        <f t="shared" si="4"/>
        <v>308398</v>
      </c>
      <c r="I49" s="308">
        <f t="shared" si="4"/>
        <v>0</v>
      </c>
      <c r="J49" s="308">
        <f t="shared" si="4"/>
        <v>0</v>
      </c>
      <c r="K49" s="308">
        <f t="shared" si="4"/>
        <v>308398</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83" t="s">
        <v>628</v>
      </c>
      <c r="C53" s="784"/>
      <c r="D53" s="785"/>
      <c r="F53" s="306">
        <v>6240</v>
      </c>
      <c r="G53" s="306">
        <v>18570</v>
      </c>
      <c r="H53" s="307">
        <v>1094976</v>
      </c>
      <c r="I53" s="115">
        <v>0</v>
      </c>
      <c r="J53" s="307"/>
      <c r="K53" s="308">
        <f t="shared" ref="K53:K62" si="5">(H53+I53)-J53</f>
        <v>1094976</v>
      </c>
    </row>
    <row r="54" spans="1:11" ht="18" customHeight="1" x14ac:dyDescent="0.4">
      <c r="A54" s="1" t="s">
        <v>93</v>
      </c>
      <c r="B54" s="530" t="s">
        <v>261</v>
      </c>
      <c r="C54" s="531" t="s">
        <v>768</v>
      </c>
      <c r="D54" s="532" t="s">
        <v>768</v>
      </c>
      <c r="F54" s="306">
        <v>85626</v>
      </c>
      <c r="G54" s="306">
        <v>39617</v>
      </c>
      <c r="H54" s="307">
        <v>10249038</v>
      </c>
      <c r="I54" s="115">
        <v>0</v>
      </c>
      <c r="J54" s="307"/>
      <c r="K54" s="308">
        <f t="shared" si="5"/>
        <v>10249038</v>
      </c>
    </row>
    <row r="55" spans="1:11" ht="18" customHeight="1" x14ac:dyDescent="0.4">
      <c r="A55" s="1" t="s">
        <v>94</v>
      </c>
      <c r="B55" s="780" t="s">
        <v>262</v>
      </c>
      <c r="C55" s="781"/>
      <c r="D55" s="782"/>
      <c r="F55" s="306"/>
      <c r="G55" s="306"/>
      <c r="H55" s="307">
        <v>185500</v>
      </c>
      <c r="I55" s="115">
        <v>0</v>
      </c>
      <c r="J55" s="307"/>
      <c r="K55" s="308">
        <f t="shared" si="5"/>
        <v>185500</v>
      </c>
    </row>
    <row r="56" spans="1:11" ht="18" customHeight="1" x14ac:dyDescent="0.4">
      <c r="A56" s="1" t="s">
        <v>95</v>
      </c>
      <c r="B56" s="655" t="s">
        <v>769</v>
      </c>
      <c r="C56" s="653"/>
      <c r="D56" s="654"/>
      <c r="F56" s="306"/>
      <c r="G56" s="306"/>
      <c r="H56" s="307">
        <v>181499</v>
      </c>
      <c r="I56" s="115">
        <v>0</v>
      </c>
      <c r="J56" s="307"/>
      <c r="K56" s="308">
        <f t="shared" si="5"/>
        <v>181499</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91866</v>
      </c>
      <c r="G64" s="310">
        <f t="shared" si="6"/>
        <v>58187</v>
      </c>
      <c r="H64" s="308">
        <f t="shared" si="6"/>
        <v>11711013</v>
      </c>
      <c r="I64" s="308">
        <f t="shared" si="6"/>
        <v>0</v>
      </c>
      <c r="J64" s="308">
        <f t="shared" si="6"/>
        <v>0</v>
      </c>
      <c r="K64" s="308">
        <f t="shared" si="6"/>
        <v>11711013</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v>6948.8</v>
      </c>
      <c r="G69" s="313"/>
      <c r="H69" s="313">
        <v>226704</v>
      </c>
      <c r="I69" s="115">
        <v>0</v>
      </c>
      <c r="J69" s="313"/>
      <c r="K69" s="308">
        <f>(H69+I69)-J69</f>
        <v>226704</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6948.8</v>
      </c>
      <c r="G74" s="411">
        <f t="shared" si="7"/>
        <v>0</v>
      </c>
      <c r="H74" s="411">
        <f t="shared" si="7"/>
        <v>226704</v>
      </c>
      <c r="I74" s="412">
        <f t="shared" si="7"/>
        <v>0</v>
      </c>
      <c r="J74" s="411">
        <f t="shared" si="7"/>
        <v>0</v>
      </c>
      <c r="K74" s="308">
        <f t="shared" si="7"/>
        <v>226704</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114195</v>
      </c>
      <c r="I77" s="115">
        <v>0</v>
      </c>
      <c r="J77" s="307"/>
      <c r="K77" s="308">
        <f>(H77+I77)-J77</f>
        <v>114195</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600.5</v>
      </c>
      <c r="G79" s="306">
        <v>8517</v>
      </c>
      <c r="H79" s="307">
        <v>122515</v>
      </c>
      <c r="I79" s="115">
        <v>0</v>
      </c>
      <c r="J79" s="307"/>
      <c r="K79" s="308">
        <f>(H79+I79)-J79</f>
        <v>122515</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600.5</v>
      </c>
      <c r="G82" s="411">
        <f t="shared" si="8"/>
        <v>8517</v>
      </c>
      <c r="H82" s="308">
        <f t="shared" si="8"/>
        <v>236710</v>
      </c>
      <c r="I82" s="308">
        <f t="shared" si="8"/>
        <v>0</v>
      </c>
      <c r="J82" s="308">
        <f t="shared" si="8"/>
        <v>0</v>
      </c>
      <c r="K82" s="308">
        <f t="shared" si="8"/>
        <v>236710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c r="G88" s="306"/>
      <c r="H88" s="307"/>
      <c r="I88" s="115">
        <f t="shared" si="9"/>
        <v>0</v>
      </c>
      <c r="J88" s="307"/>
      <c r="K88" s="308">
        <f t="shared" si="10"/>
        <v>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c r="G91" s="306"/>
      <c r="H91" s="307"/>
      <c r="I91" s="115">
        <f t="shared" si="9"/>
        <v>0</v>
      </c>
      <c r="J91" s="307"/>
      <c r="K91" s="308">
        <f t="shared" si="10"/>
        <v>0</v>
      </c>
    </row>
    <row r="92" spans="1:11" ht="18" customHeight="1" x14ac:dyDescent="0.4">
      <c r="A92" s="1" t="s">
        <v>120</v>
      </c>
      <c r="B92" s="94" t="s">
        <v>121</v>
      </c>
      <c r="F92" s="107">
        <v>2064</v>
      </c>
      <c r="G92" s="107"/>
      <c r="H92" s="108">
        <v>401143</v>
      </c>
      <c r="I92" s="115">
        <v>200571.5</v>
      </c>
      <c r="J92" s="108"/>
      <c r="K92" s="308">
        <f t="shared" si="10"/>
        <v>601714.5</v>
      </c>
    </row>
    <row r="93" spans="1:11" ht="18" customHeight="1" x14ac:dyDescent="0.4">
      <c r="A93" s="1" t="s">
        <v>122</v>
      </c>
      <c r="B93" s="94" t="s">
        <v>123</v>
      </c>
      <c r="F93" s="306"/>
      <c r="G93" s="306">
        <v>1</v>
      </c>
      <c r="H93" s="307">
        <v>1000</v>
      </c>
      <c r="I93" s="115">
        <v>0</v>
      </c>
      <c r="J93" s="307"/>
      <c r="K93" s="308">
        <f t="shared" si="10"/>
        <v>1000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2064</v>
      </c>
      <c r="G98" s="310">
        <f t="shared" si="11"/>
        <v>1</v>
      </c>
      <c r="H98" s="310">
        <f t="shared" si="11"/>
        <v>402143</v>
      </c>
      <c r="I98" s="310">
        <f t="shared" si="11"/>
        <v>200571.5</v>
      </c>
      <c r="J98" s="310">
        <f t="shared" si="11"/>
        <v>0</v>
      </c>
      <c r="K98" s="310">
        <f t="shared" si="11"/>
        <v>602714.5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2080</v>
      </c>
      <c r="G102" s="306"/>
      <c r="H102" s="307">
        <v>127920</v>
      </c>
      <c r="I102" s="115">
        <f>H102*F$114</f>
        <v>63960</v>
      </c>
      <c r="J102" s="307"/>
      <c r="K102" s="308">
        <f>(H102+I102)-J102</f>
        <v>191880</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2080</v>
      </c>
      <c r="G108" s="310">
        <f t="shared" si="12"/>
        <v>0</v>
      </c>
      <c r="H108" s="308">
        <f t="shared" si="12"/>
        <v>127920</v>
      </c>
      <c r="I108" s="308">
        <f t="shared" si="12"/>
        <v>63960</v>
      </c>
      <c r="J108" s="308">
        <f t="shared" si="12"/>
        <v>0</v>
      </c>
      <c r="K108" s="308">
        <f t="shared" si="12"/>
        <v>191880</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503783</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196264723</v>
      </c>
    </row>
    <row r="118" spans="1:6" ht="18" customHeight="1" x14ac:dyDescent="0.4">
      <c r="A118" s="1" t="s">
        <v>173</v>
      </c>
      <c r="B118" t="s">
        <v>18</v>
      </c>
      <c r="F118" s="307">
        <v>17263521</v>
      </c>
    </row>
    <row r="119" spans="1:6" ht="18" customHeight="1" x14ac:dyDescent="0.4">
      <c r="A119" s="1" t="s">
        <v>174</v>
      </c>
      <c r="B119" s="95" t="s">
        <v>19</v>
      </c>
      <c r="F119" s="308">
        <f>SUM(F117:F118)</f>
        <v>213528244</v>
      </c>
    </row>
    <row r="120" spans="1:6" ht="18" customHeight="1" x14ac:dyDescent="0.4">
      <c r="A120" s="1"/>
      <c r="B120" s="95"/>
    </row>
    <row r="121" spans="1:6" ht="18" customHeight="1" x14ac:dyDescent="0.4">
      <c r="A121" s="1" t="s">
        <v>167</v>
      </c>
      <c r="B121" s="95" t="s">
        <v>36</v>
      </c>
      <c r="F121" s="307">
        <v>201484375</v>
      </c>
    </row>
    <row r="122" spans="1:6" ht="18" customHeight="1" x14ac:dyDescent="0.4">
      <c r="A122" s="1"/>
    </row>
    <row r="123" spans="1:6" ht="18" customHeight="1" x14ac:dyDescent="0.4">
      <c r="A123" s="1" t="s">
        <v>175</v>
      </c>
      <c r="B123" s="95" t="s">
        <v>20</v>
      </c>
      <c r="F123" s="307">
        <v>12043869</v>
      </c>
    </row>
    <row r="124" spans="1:6" ht="18" customHeight="1" x14ac:dyDescent="0.4">
      <c r="A124" s="1"/>
    </row>
    <row r="125" spans="1:6" ht="18" customHeight="1" x14ac:dyDescent="0.4">
      <c r="A125" s="1" t="s">
        <v>176</v>
      </c>
      <c r="B125" s="95" t="s">
        <v>21</v>
      </c>
      <c r="F125" s="307">
        <v>3866915</v>
      </c>
    </row>
    <row r="126" spans="1:6" ht="18" customHeight="1" x14ac:dyDescent="0.4">
      <c r="A126" s="1"/>
    </row>
    <row r="127" spans="1:6" ht="18" customHeight="1" x14ac:dyDescent="0.4">
      <c r="A127" s="1" t="s">
        <v>177</v>
      </c>
      <c r="B127" s="95" t="s">
        <v>22</v>
      </c>
      <c r="F127" s="307">
        <v>15910784</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45912</v>
      </c>
      <c r="G141" s="109">
        <f t="shared" si="14"/>
        <v>75051</v>
      </c>
      <c r="H141" s="109">
        <f t="shared" si="14"/>
        <v>2230593</v>
      </c>
      <c r="I141" s="109">
        <f t="shared" si="14"/>
        <v>1115296.5</v>
      </c>
      <c r="J141" s="109">
        <f t="shared" si="14"/>
        <v>163929</v>
      </c>
      <c r="K141" s="109">
        <f t="shared" si="14"/>
        <v>3181960.5</v>
      </c>
    </row>
    <row r="142" spans="1:11" ht="18" customHeight="1" x14ac:dyDescent="0.4">
      <c r="A142" s="1" t="s">
        <v>142</v>
      </c>
      <c r="B142" s="95" t="s">
        <v>65</v>
      </c>
      <c r="F142" s="109">
        <f t="shared" ref="F142:K142" si="15">F49</f>
        <v>9619</v>
      </c>
      <c r="G142" s="109">
        <f t="shared" si="15"/>
        <v>369</v>
      </c>
      <c r="H142" s="109">
        <f t="shared" si="15"/>
        <v>308398</v>
      </c>
      <c r="I142" s="109">
        <f t="shared" si="15"/>
        <v>0</v>
      </c>
      <c r="J142" s="109">
        <f t="shared" si="15"/>
        <v>0</v>
      </c>
      <c r="K142" s="109">
        <f t="shared" si="15"/>
        <v>308398</v>
      </c>
    </row>
    <row r="143" spans="1:11" ht="18" customHeight="1" x14ac:dyDescent="0.4">
      <c r="A143" s="1" t="s">
        <v>144</v>
      </c>
      <c r="B143" s="95" t="s">
        <v>66</v>
      </c>
      <c r="F143" s="109">
        <f t="shared" ref="F143:K143" si="16">F64</f>
        <v>91866</v>
      </c>
      <c r="G143" s="109">
        <f t="shared" si="16"/>
        <v>58187</v>
      </c>
      <c r="H143" s="109">
        <f t="shared" si="16"/>
        <v>11711013</v>
      </c>
      <c r="I143" s="109">
        <f t="shared" si="16"/>
        <v>0</v>
      </c>
      <c r="J143" s="109">
        <f t="shared" si="16"/>
        <v>0</v>
      </c>
      <c r="K143" s="109">
        <f t="shared" si="16"/>
        <v>11711013</v>
      </c>
    </row>
    <row r="144" spans="1:11" ht="18" customHeight="1" x14ac:dyDescent="0.4">
      <c r="A144" s="1" t="s">
        <v>146</v>
      </c>
      <c r="B144" s="95" t="s">
        <v>67</v>
      </c>
      <c r="F144" s="109">
        <f t="shared" ref="F144:K144" si="17">F74</f>
        <v>6948.8</v>
      </c>
      <c r="G144" s="109">
        <f t="shared" si="17"/>
        <v>0</v>
      </c>
      <c r="H144" s="109">
        <f t="shared" si="17"/>
        <v>226704</v>
      </c>
      <c r="I144" s="109">
        <f t="shared" si="17"/>
        <v>0</v>
      </c>
      <c r="J144" s="109">
        <f t="shared" si="17"/>
        <v>0</v>
      </c>
      <c r="K144" s="109">
        <f t="shared" si="17"/>
        <v>226704</v>
      </c>
    </row>
    <row r="145" spans="1:11" ht="18" customHeight="1" x14ac:dyDescent="0.4">
      <c r="A145" s="1" t="s">
        <v>148</v>
      </c>
      <c r="B145" s="95" t="s">
        <v>68</v>
      </c>
      <c r="F145" s="109">
        <f t="shared" ref="F145:K145" si="18">F82</f>
        <v>600.5</v>
      </c>
      <c r="G145" s="109">
        <f t="shared" si="18"/>
        <v>8517</v>
      </c>
      <c r="H145" s="109">
        <f t="shared" si="18"/>
        <v>236710</v>
      </c>
      <c r="I145" s="109">
        <f t="shared" si="18"/>
        <v>0</v>
      </c>
      <c r="J145" s="109">
        <f t="shared" si="18"/>
        <v>0</v>
      </c>
      <c r="K145" s="109">
        <f t="shared" si="18"/>
        <v>236710</v>
      </c>
    </row>
    <row r="146" spans="1:11" ht="18" customHeight="1" x14ac:dyDescent="0.4">
      <c r="A146" s="1" t="s">
        <v>150</v>
      </c>
      <c r="B146" s="95" t="s">
        <v>69</v>
      </c>
      <c r="F146" s="109">
        <f t="shared" ref="F146:K146" si="19">F98</f>
        <v>2064</v>
      </c>
      <c r="G146" s="109">
        <f t="shared" si="19"/>
        <v>1</v>
      </c>
      <c r="H146" s="109">
        <f t="shared" si="19"/>
        <v>402143</v>
      </c>
      <c r="I146" s="109">
        <f t="shared" si="19"/>
        <v>200571.5</v>
      </c>
      <c r="J146" s="109">
        <f t="shared" si="19"/>
        <v>0</v>
      </c>
      <c r="K146" s="109">
        <f t="shared" si="19"/>
        <v>602714.5</v>
      </c>
    </row>
    <row r="147" spans="1:11" ht="18" customHeight="1" x14ac:dyDescent="0.4">
      <c r="A147" s="1" t="s">
        <v>153</v>
      </c>
      <c r="B147" s="95" t="s">
        <v>61</v>
      </c>
      <c r="F147" s="310">
        <f t="shared" ref="F147:K147" si="20">F108</f>
        <v>2080</v>
      </c>
      <c r="G147" s="310">
        <f t="shared" si="20"/>
        <v>0</v>
      </c>
      <c r="H147" s="310">
        <f t="shared" si="20"/>
        <v>127920</v>
      </c>
      <c r="I147" s="310">
        <f t="shared" si="20"/>
        <v>63960</v>
      </c>
      <c r="J147" s="310">
        <f t="shared" si="20"/>
        <v>0</v>
      </c>
      <c r="K147" s="310">
        <f t="shared" si="20"/>
        <v>191880</v>
      </c>
    </row>
    <row r="148" spans="1:11" ht="18" customHeight="1" x14ac:dyDescent="0.4">
      <c r="A148" s="1" t="s">
        <v>155</v>
      </c>
      <c r="B148" s="95" t="s">
        <v>70</v>
      </c>
      <c r="F148" s="110" t="s">
        <v>73</v>
      </c>
      <c r="G148" s="110" t="s">
        <v>73</v>
      </c>
      <c r="H148" s="111" t="s">
        <v>73</v>
      </c>
      <c r="I148" s="111" t="s">
        <v>73</v>
      </c>
      <c r="J148" s="111" t="s">
        <v>73</v>
      </c>
      <c r="K148" s="106">
        <f>F111</f>
        <v>503783</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4389560.9400000004</v>
      </c>
      <c r="I150" s="310">
        <f>I18</f>
        <v>0</v>
      </c>
      <c r="J150" s="310">
        <f>J18</f>
        <v>3637937.09</v>
      </c>
      <c r="K150" s="310">
        <f>K18</f>
        <v>751623.85000000056</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159090.29999999999</v>
      </c>
      <c r="G152" s="114">
        <f t="shared" si="22"/>
        <v>142125</v>
      </c>
      <c r="H152" s="114">
        <f t="shared" si="22"/>
        <v>19633041.940000001</v>
      </c>
      <c r="I152" s="114">
        <f t="shared" si="22"/>
        <v>1379828</v>
      </c>
      <c r="J152" s="114">
        <f t="shared" si="22"/>
        <v>3801866.09</v>
      </c>
      <c r="K152" s="114">
        <f t="shared" si="22"/>
        <v>17714786.850000001</v>
      </c>
    </row>
    <row r="154" spans="1:11" ht="18" customHeight="1" x14ac:dyDescent="0.4">
      <c r="A154" s="98" t="s">
        <v>168</v>
      </c>
      <c r="B154" s="95" t="s">
        <v>28</v>
      </c>
      <c r="F154" s="318">
        <f>K152/F121</f>
        <v>8.7921392663823192E-2</v>
      </c>
    </row>
    <row r="155" spans="1:11" ht="18" customHeight="1" x14ac:dyDescent="0.4">
      <c r="A155" s="98" t="s">
        <v>169</v>
      </c>
      <c r="B155" s="95" t="s">
        <v>72</v>
      </c>
      <c r="F155" s="318">
        <f>K152/F127</f>
        <v>1.1133823983783577</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G11" r:id="rId1" display="sbrewer@lifebridgehealth.org" xr:uid="{0BEE7471-FC36-4778-9716-B2F743D42742}"/>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pageSetUpPr fitToPage="1"/>
  </sheetPr>
  <dimension ref="A1:K156"/>
  <sheetViews>
    <sheetView topLeftCell="A129" zoomScale="80" zoomScaleNormal="80" workbookViewId="0">
      <selection activeCell="B155" sqref="B155"/>
    </sheetView>
  </sheetViews>
  <sheetFormatPr defaultColWidth="8.71875" defaultRowHeight="18" customHeight="1" x14ac:dyDescent="0.4"/>
  <cols>
    <col min="1" max="1" width="8.164062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227</v>
      </c>
      <c r="D5" s="666"/>
      <c r="E5" s="666"/>
      <c r="F5" s="666"/>
      <c r="G5" s="667"/>
    </row>
    <row r="6" spans="1:11" ht="18" customHeight="1" x14ac:dyDescent="0.4">
      <c r="B6" s="1" t="s">
        <v>3</v>
      </c>
      <c r="C6" s="788">
        <v>210034</v>
      </c>
      <c r="D6" s="684"/>
      <c r="E6" s="684"/>
      <c r="F6" s="684"/>
      <c r="G6" s="685"/>
    </row>
    <row r="7" spans="1:11" ht="18" customHeight="1" x14ac:dyDescent="0.4">
      <c r="B7" s="1" t="s">
        <v>4</v>
      </c>
      <c r="C7" s="789">
        <v>1127</v>
      </c>
      <c r="D7" s="687"/>
      <c r="E7" s="687"/>
      <c r="F7" s="687"/>
      <c r="G7" s="688"/>
    </row>
    <row r="9" spans="1:11" ht="18" customHeight="1" x14ac:dyDescent="0.4">
      <c r="B9" s="1" t="s">
        <v>1</v>
      </c>
      <c r="C9" s="731" t="s">
        <v>433</v>
      </c>
      <c r="D9" s="666"/>
      <c r="E9" s="666"/>
      <c r="F9" s="666"/>
      <c r="G9" s="667"/>
    </row>
    <row r="10" spans="1:11" ht="18" customHeight="1" x14ac:dyDescent="0.4">
      <c r="B10" s="1" t="s">
        <v>2</v>
      </c>
      <c r="C10" s="733" t="s">
        <v>434</v>
      </c>
      <c r="D10" s="661"/>
      <c r="E10" s="661"/>
      <c r="F10" s="661"/>
      <c r="G10" s="662"/>
    </row>
    <row r="11" spans="1:11" ht="18" customHeight="1" x14ac:dyDescent="0.4">
      <c r="B11" s="1" t="s">
        <v>32</v>
      </c>
      <c r="C11" s="682" t="s">
        <v>435</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22">
        <v>3390351.83</v>
      </c>
      <c r="I18" s="533">
        <v>0</v>
      </c>
      <c r="J18" s="322">
        <v>2809822.4</v>
      </c>
      <c r="K18" s="321">
        <f>H18-J18</f>
        <v>580529.43000000017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228</v>
      </c>
      <c r="G21" s="306">
        <v>14632</v>
      </c>
      <c r="H21" s="322">
        <v>23644</v>
      </c>
      <c r="I21" s="533">
        <v>8091</v>
      </c>
      <c r="J21" s="322">
        <v>1875</v>
      </c>
      <c r="K21" s="321">
        <v>29860</v>
      </c>
    </row>
    <row r="22" spans="1:11" ht="18" customHeight="1" x14ac:dyDescent="0.4">
      <c r="A22" s="1" t="s">
        <v>76</v>
      </c>
      <c r="B22" t="s">
        <v>6</v>
      </c>
      <c r="F22" s="306">
        <v>10.5</v>
      </c>
      <c r="G22" s="306">
        <v>506</v>
      </c>
      <c r="H22" s="322">
        <v>2347</v>
      </c>
      <c r="I22" s="533">
        <v>2154</v>
      </c>
      <c r="J22" s="322"/>
      <c r="K22" s="321">
        <v>4501</v>
      </c>
    </row>
    <row r="23" spans="1:11" ht="18" customHeight="1" x14ac:dyDescent="0.4">
      <c r="A23" s="1" t="s">
        <v>77</v>
      </c>
      <c r="B23" t="s">
        <v>43</v>
      </c>
      <c r="F23" s="306"/>
      <c r="G23" s="306"/>
      <c r="H23" s="322"/>
      <c r="I23" s="533">
        <v>0</v>
      </c>
      <c r="J23" s="322"/>
      <c r="K23" s="321">
        <v>0</v>
      </c>
    </row>
    <row r="24" spans="1:11" ht="18" customHeight="1" x14ac:dyDescent="0.4">
      <c r="A24" s="1" t="s">
        <v>78</v>
      </c>
      <c r="B24" t="s">
        <v>44</v>
      </c>
      <c r="F24" s="306">
        <v>16771</v>
      </c>
      <c r="G24" s="306">
        <v>918</v>
      </c>
      <c r="H24" s="322">
        <v>1333619</v>
      </c>
      <c r="I24" s="533">
        <v>1224263</v>
      </c>
      <c r="J24" s="322">
        <v>1326662</v>
      </c>
      <c r="K24" s="321">
        <v>1231220</v>
      </c>
    </row>
    <row r="25" spans="1:11" ht="18" customHeight="1" x14ac:dyDescent="0.4">
      <c r="A25" s="1" t="s">
        <v>79</v>
      </c>
      <c r="B25" t="s">
        <v>5</v>
      </c>
      <c r="F25" s="306">
        <v>5128</v>
      </c>
      <c r="G25" s="306">
        <v>50092</v>
      </c>
      <c r="H25" s="322">
        <v>236497</v>
      </c>
      <c r="I25" s="533">
        <v>210189</v>
      </c>
      <c r="J25" s="322"/>
      <c r="K25" s="321">
        <v>446686</v>
      </c>
    </row>
    <row r="26" spans="1:11" ht="18" customHeight="1" x14ac:dyDescent="0.4">
      <c r="A26" s="1" t="s">
        <v>80</v>
      </c>
      <c r="B26" t="s">
        <v>45</v>
      </c>
      <c r="F26" s="306"/>
      <c r="G26" s="306"/>
      <c r="H26" s="322"/>
      <c r="I26" s="533">
        <v>0</v>
      </c>
      <c r="J26" s="322"/>
      <c r="K26" s="321">
        <v>0</v>
      </c>
    </row>
    <row r="27" spans="1:11" ht="18" customHeight="1" x14ac:dyDescent="0.4">
      <c r="A27" s="1" t="s">
        <v>81</v>
      </c>
      <c r="B27" t="s">
        <v>455</v>
      </c>
      <c r="F27" s="306"/>
      <c r="G27" s="306"/>
      <c r="H27" s="322">
        <v>4166</v>
      </c>
      <c r="I27" s="533">
        <v>0</v>
      </c>
      <c r="J27" s="322"/>
      <c r="K27" s="321">
        <v>4166</v>
      </c>
    </row>
    <row r="28" spans="1:11" ht="18" customHeight="1" x14ac:dyDescent="0.4">
      <c r="A28" s="1" t="s">
        <v>82</v>
      </c>
      <c r="B28" t="s">
        <v>47</v>
      </c>
      <c r="F28" s="306"/>
      <c r="G28" s="306"/>
      <c r="H28" s="322"/>
      <c r="I28" s="533">
        <v>0</v>
      </c>
      <c r="J28" s="322"/>
      <c r="K28" s="321">
        <v>0</v>
      </c>
    </row>
    <row r="29" spans="1:11" ht="18" customHeight="1" x14ac:dyDescent="0.4">
      <c r="A29" s="1" t="s">
        <v>83</v>
      </c>
      <c r="B29" t="s">
        <v>48</v>
      </c>
      <c r="F29" s="306"/>
      <c r="G29" s="306">
        <v>542</v>
      </c>
      <c r="H29" s="322">
        <v>603055</v>
      </c>
      <c r="I29" s="533">
        <v>0</v>
      </c>
      <c r="J29" s="322">
        <v>14500</v>
      </c>
      <c r="K29" s="321">
        <v>588555</v>
      </c>
    </row>
    <row r="30" spans="1:11" ht="18" customHeight="1" x14ac:dyDescent="0.4">
      <c r="A30" s="1" t="s">
        <v>84</v>
      </c>
      <c r="B30" s="630" t="s">
        <v>229</v>
      </c>
      <c r="C30" s="631"/>
      <c r="D30" s="632"/>
      <c r="F30" s="306"/>
      <c r="G30" s="306"/>
      <c r="H30" s="322">
        <v>70062</v>
      </c>
      <c r="I30" s="533">
        <v>44121</v>
      </c>
      <c r="J30" s="322"/>
      <c r="K30" s="321">
        <v>114183</v>
      </c>
    </row>
    <row r="31" spans="1:11" ht="18" customHeight="1" x14ac:dyDescent="0.4">
      <c r="A31" s="1" t="s">
        <v>133</v>
      </c>
      <c r="B31" s="630"/>
      <c r="C31" s="631"/>
      <c r="D31" s="632"/>
      <c r="F31" s="306"/>
      <c r="G31" s="306"/>
      <c r="H31" s="322"/>
      <c r="I31" s="533">
        <v>0</v>
      </c>
      <c r="J31" s="322"/>
      <c r="K31" s="321">
        <v>0</v>
      </c>
    </row>
    <row r="32" spans="1:11" ht="18" customHeight="1" x14ac:dyDescent="0.4">
      <c r="A32" s="1" t="s">
        <v>134</v>
      </c>
      <c r="B32" s="394"/>
      <c r="C32" s="395"/>
      <c r="D32" s="396"/>
      <c r="F32" s="306"/>
      <c r="G32" s="309" t="s">
        <v>85</v>
      </c>
      <c r="H32" s="322"/>
      <c r="I32" s="533">
        <v>0</v>
      </c>
      <c r="J32" s="322"/>
      <c r="K32" s="321">
        <v>0</v>
      </c>
    </row>
    <row r="33" spans="1:11" ht="18" customHeight="1" x14ac:dyDescent="0.4">
      <c r="A33" s="1" t="s">
        <v>135</v>
      </c>
      <c r="B33" s="394"/>
      <c r="C33" s="395"/>
      <c r="D33" s="396"/>
      <c r="F33" s="306"/>
      <c r="G33" s="309" t="s">
        <v>85</v>
      </c>
      <c r="H33" s="322"/>
      <c r="I33" s="533">
        <v>0</v>
      </c>
      <c r="J33" s="322"/>
      <c r="K33" s="321">
        <v>0</v>
      </c>
    </row>
    <row r="34" spans="1:11" ht="18" customHeight="1" x14ac:dyDescent="0.4">
      <c r="A34" s="1" t="s">
        <v>136</v>
      </c>
      <c r="B34" s="630"/>
      <c r="C34" s="631"/>
      <c r="D34" s="632"/>
      <c r="F34" s="306"/>
      <c r="G34" s="309" t="s">
        <v>85</v>
      </c>
      <c r="H34" s="322"/>
      <c r="I34" s="533">
        <v>0</v>
      </c>
      <c r="J34" s="322"/>
      <c r="K34" s="321">
        <v>0</v>
      </c>
    </row>
    <row r="35" spans="1:11" ht="18" customHeight="1" x14ac:dyDescent="0.4">
      <c r="H35" s="212"/>
      <c r="I35" s="212"/>
      <c r="J35" s="212"/>
      <c r="K35" s="371"/>
    </row>
    <row r="36" spans="1:11" ht="18" customHeight="1" x14ac:dyDescent="0.4">
      <c r="A36" s="98" t="s">
        <v>137</v>
      </c>
      <c r="B36" s="95" t="s">
        <v>138</v>
      </c>
      <c r="E36" s="95" t="s">
        <v>7</v>
      </c>
      <c r="F36" s="310">
        <v>22137.5</v>
      </c>
      <c r="G36" s="310">
        <v>66690</v>
      </c>
      <c r="H36" s="321">
        <v>2273390</v>
      </c>
      <c r="I36" s="321">
        <v>1488818</v>
      </c>
      <c r="J36" s="321">
        <v>1343037</v>
      </c>
      <c r="K36" s="321">
        <v>2419171</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44893</v>
      </c>
      <c r="G40" s="306"/>
      <c r="H40" s="322">
        <v>2897441</v>
      </c>
      <c r="I40" s="533">
        <v>2659472</v>
      </c>
      <c r="J40" s="322"/>
      <c r="K40" s="321">
        <v>5556913</v>
      </c>
    </row>
    <row r="41" spans="1:11" ht="18" customHeight="1" x14ac:dyDescent="0.4">
      <c r="A41" s="1" t="s">
        <v>88</v>
      </c>
      <c r="B41" s="635" t="s">
        <v>50</v>
      </c>
      <c r="C41" s="636"/>
      <c r="F41" s="306">
        <v>5171</v>
      </c>
      <c r="G41" s="306">
        <v>1616</v>
      </c>
      <c r="H41" s="322">
        <v>229090</v>
      </c>
      <c r="I41" s="533">
        <v>210305</v>
      </c>
      <c r="J41" s="322"/>
      <c r="K41" s="321">
        <v>439395</v>
      </c>
    </row>
    <row r="42" spans="1:11" ht="18" customHeight="1" x14ac:dyDescent="0.4">
      <c r="A42" s="1" t="s">
        <v>89</v>
      </c>
      <c r="B42" s="94" t="s">
        <v>11</v>
      </c>
      <c r="F42" s="306"/>
      <c r="G42" s="306"/>
      <c r="H42" s="322">
        <v>3057</v>
      </c>
      <c r="I42" s="533">
        <v>2806</v>
      </c>
      <c r="J42" s="322"/>
      <c r="K42" s="321">
        <v>5863</v>
      </c>
    </row>
    <row r="43" spans="1:11" ht="18" customHeight="1" x14ac:dyDescent="0.4">
      <c r="A43" s="1" t="s">
        <v>90</v>
      </c>
      <c r="B43" s="94" t="s">
        <v>10</v>
      </c>
      <c r="F43" s="306"/>
      <c r="G43" s="306"/>
      <c r="H43" s="322"/>
      <c r="I43" s="533">
        <v>0</v>
      </c>
      <c r="J43" s="322"/>
      <c r="K43" s="321">
        <v>0</v>
      </c>
    </row>
    <row r="44" spans="1:11" ht="18" customHeight="1" x14ac:dyDescent="0.4">
      <c r="A44" s="1" t="s">
        <v>91</v>
      </c>
      <c r="B44" s="630"/>
      <c r="C44" s="631"/>
      <c r="D44" s="632"/>
      <c r="F44" s="311"/>
      <c r="G44" s="311"/>
      <c r="H44" s="498"/>
      <c r="I44" s="534">
        <v>0</v>
      </c>
      <c r="J44" s="498"/>
      <c r="K44" s="535">
        <v>0</v>
      </c>
    </row>
    <row r="45" spans="1:11" ht="18" customHeight="1" x14ac:dyDescent="0.4">
      <c r="A45" s="1" t="s">
        <v>139</v>
      </c>
      <c r="B45" s="630"/>
      <c r="C45" s="631"/>
      <c r="D45" s="632"/>
      <c r="F45" s="306"/>
      <c r="G45" s="306"/>
      <c r="H45" s="322"/>
      <c r="I45" s="533">
        <v>0</v>
      </c>
      <c r="J45" s="322"/>
      <c r="K45" s="321">
        <v>0</v>
      </c>
    </row>
    <row r="46" spans="1:11" ht="18" customHeight="1" x14ac:dyDescent="0.4">
      <c r="A46" s="1" t="s">
        <v>140</v>
      </c>
      <c r="B46" s="630"/>
      <c r="C46" s="631"/>
      <c r="D46" s="632"/>
      <c r="F46" s="306"/>
      <c r="G46" s="306"/>
      <c r="H46" s="322"/>
      <c r="I46" s="533">
        <v>0</v>
      </c>
      <c r="J46" s="322"/>
      <c r="K46" s="321">
        <v>0</v>
      </c>
    </row>
    <row r="47" spans="1:11" ht="18" customHeight="1" x14ac:dyDescent="0.4">
      <c r="A47" s="1" t="s">
        <v>141</v>
      </c>
      <c r="B47" s="630"/>
      <c r="C47" s="631"/>
      <c r="D47" s="632"/>
      <c r="F47" s="306"/>
      <c r="G47" s="306"/>
      <c r="H47" s="322"/>
      <c r="I47" s="533">
        <v>0</v>
      </c>
      <c r="J47" s="322"/>
      <c r="K47" s="321">
        <v>0</v>
      </c>
    </row>
    <row r="49" spans="1:11" ht="18" customHeight="1" x14ac:dyDescent="0.4">
      <c r="A49" s="98" t="s">
        <v>142</v>
      </c>
      <c r="B49" s="95" t="s">
        <v>143</v>
      </c>
      <c r="E49" s="95" t="s">
        <v>7</v>
      </c>
      <c r="F49" s="321">
        <v>50064</v>
      </c>
      <c r="G49" s="321">
        <v>1616</v>
      </c>
      <c r="H49" s="321">
        <v>3129588</v>
      </c>
      <c r="I49" s="321">
        <v>2872583</v>
      </c>
      <c r="J49" s="321">
        <v>0</v>
      </c>
      <c r="K49" s="321">
        <v>6002171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40" t="s">
        <v>770</v>
      </c>
      <c r="C53" s="659"/>
      <c r="D53" s="654"/>
      <c r="F53" s="306"/>
      <c r="G53" s="306"/>
      <c r="H53" s="322">
        <v>4659685</v>
      </c>
      <c r="I53" s="533">
        <v>0</v>
      </c>
      <c r="J53" s="322">
        <v>1327579</v>
      </c>
      <c r="K53" s="321">
        <v>3332106</v>
      </c>
    </row>
    <row r="54" spans="1:11" ht="18" customHeight="1" x14ac:dyDescent="0.4">
      <c r="A54" s="1" t="s">
        <v>93</v>
      </c>
      <c r="B54" s="400"/>
      <c r="C54" s="401"/>
      <c r="D54" s="402"/>
      <c r="F54" s="306"/>
      <c r="G54" s="306"/>
      <c r="H54" s="322"/>
      <c r="I54" s="533">
        <v>0</v>
      </c>
      <c r="J54" s="322"/>
      <c r="K54" s="321">
        <v>0</v>
      </c>
    </row>
    <row r="55" spans="1:11" ht="18" customHeight="1" x14ac:dyDescent="0.4">
      <c r="A55" s="1" t="s">
        <v>94</v>
      </c>
      <c r="B55" s="652" t="s">
        <v>296</v>
      </c>
      <c r="C55" s="653"/>
      <c r="D55" s="654"/>
      <c r="F55" s="306"/>
      <c r="G55" s="306"/>
      <c r="H55" s="322">
        <v>4431582</v>
      </c>
      <c r="I55" s="533">
        <v>0</v>
      </c>
      <c r="J55" s="322">
        <v>3829757</v>
      </c>
      <c r="K55" s="321">
        <v>601825</v>
      </c>
    </row>
    <row r="56" spans="1:11" ht="18" customHeight="1" x14ac:dyDescent="0.4">
      <c r="A56" s="1" t="s">
        <v>95</v>
      </c>
      <c r="B56" s="655"/>
      <c r="C56" s="653"/>
      <c r="D56" s="654"/>
      <c r="F56" s="306"/>
      <c r="G56" s="306"/>
      <c r="H56" s="322"/>
      <c r="I56" s="533">
        <v>0</v>
      </c>
      <c r="J56" s="322"/>
      <c r="K56" s="321">
        <v>0</v>
      </c>
    </row>
    <row r="57" spans="1:11" ht="18" customHeight="1" x14ac:dyDescent="0.4">
      <c r="A57" s="1" t="s">
        <v>96</v>
      </c>
      <c r="B57" s="652" t="s">
        <v>297</v>
      </c>
      <c r="C57" s="653"/>
      <c r="D57" s="654"/>
      <c r="F57" s="306"/>
      <c r="G57" s="306"/>
      <c r="H57" s="322">
        <v>7051937</v>
      </c>
      <c r="I57" s="533">
        <v>0</v>
      </c>
      <c r="J57" s="322">
        <v>2558870</v>
      </c>
      <c r="K57" s="321">
        <v>4493067</v>
      </c>
    </row>
    <row r="58" spans="1:11" ht="18" customHeight="1" x14ac:dyDescent="0.4">
      <c r="A58" s="1" t="s">
        <v>97</v>
      </c>
      <c r="B58" s="400"/>
      <c r="C58" s="401"/>
      <c r="D58" s="402"/>
      <c r="F58" s="306"/>
      <c r="G58" s="306"/>
      <c r="H58" s="322"/>
      <c r="I58" s="533">
        <v>0</v>
      </c>
      <c r="J58" s="322"/>
      <c r="K58" s="321">
        <v>0</v>
      </c>
    </row>
    <row r="59" spans="1:11" ht="18" customHeight="1" x14ac:dyDescent="0.4">
      <c r="A59" s="1" t="s">
        <v>98</v>
      </c>
      <c r="B59" s="655"/>
      <c r="C59" s="653"/>
      <c r="D59" s="654"/>
      <c r="F59" s="306"/>
      <c r="G59" s="306"/>
      <c r="H59" s="322"/>
      <c r="I59" s="533">
        <v>0</v>
      </c>
      <c r="J59" s="322"/>
      <c r="K59" s="321">
        <v>0</v>
      </c>
    </row>
    <row r="60" spans="1:11" ht="18" customHeight="1" x14ac:dyDescent="0.4">
      <c r="A60" s="1" t="s">
        <v>99</v>
      </c>
      <c r="B60" s="483" t="s">
        <v>402</v>
      </c>
      <c r="C60" s="401"/>
      <c r="D60" s="402"/>
      <c r="F60" s="306"/>
      <c r="G60" s="306"/>
      <c r="H60" s="322">
        <v>273968</v>
      </c>
      <c r="I60" s="533">
        <v>0</v>
      </c>
      <c r="J60" s="322"/>
      <c r="K60" s="321">
        <v>273968</v>
      </c>
    </row>
    <row r="61" spans="1:11" ht="18" customHeight="1" x14ac:dyDescent="0.4">
      <c r="A61" s="1" t="s">
        <v>100</v>
      </c>
      <c r="B61" s="483" t="s">
        <v>341</v>
      </c>
      <c r="C61" s="401"/>
      <c r="D61" s="402"/>
      <c r="F61" s="306"/>
      <c r="G61" s="306"/>
      <c r="H61" s="322">
        <v>235625</v>
      </c>
      <c r="I61" s="533">
        <v>0</v>
      </c>
      <c r="J61" s="322">
        <v>84865</v>
      </c>
      <c r="K61" s="321">
        <v>150760</v>
      </c>
    </row>
    <row r="62" spans="1:11" ht="18" customHeight="1" x14ac:dyDescent="0.4">
      <c r="A62" s="1" t="s">
        <v>101</v>
      </c>
      <c r="B62" s="655"/>
      <c r="C62" s="653"/>
      <c r="D62" s="654"/>
      <c r="F62" s="306"/>
      <c r="G62" s="306"/>
      <c r="H62" s="322"/>
      <c r="I62" s="533">
        <v>0</v>
      </c>
      <c r="J62" s="322"/>
      <c r="K62" s="321">
        <v>0</v>
      </c>
    </row>
    <row r="63" spans="1:11" ht="18" customHeight="1" x14ac:dyDescent="0.4">
      <c r="A63" s="1"/>
      <c r="H63" s="212"/>
      <c r="I63" s="536"/>
      <c r="J63" s="212"/>
      <c r="K63" s="212"/>
    </row>
    <row r="64" spans="1:11" ht="18" customHeight="1" x14ac:dyDescent="0.4">
      <c r="A64" s="1" t="s">
        <v>144</v>
      </c>
      <c r="B64" s="95" t="s">
        <v>145</v>
      </c>
      <c r="E64" s="95" t="s">
        <v>7</v>
      </c>
      <c r="F64" s="310">
        <v>0</v>
      </c>
      <c r="G64" s="310">
        <v>0</v>
      </c>
      <c r="H64" s="321">
        <v>16652797</v>
      </c>
      <c r="I64" s="321">
        <v>0</v>
      </c>
      <c r="J64" s="321">
        <v>7801071</v>
      </c>
      <c r="K64" s="321">
        <v>8851726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v>0</v>
      </c>
    </row>
    <row r="69" spans="1:11" ht="18" customHeight="1" x14ac:dyDescent="0.4">
      <c r="A69" s="1" t="s">
        <v>104</v>
      </c>
      <c r="B69" s="94" t="s">
        <v>53</v>
      </c>
      <c r="F69" s="313"/>
      <c r="G69" s="313"/>
      <c r="H69" s="313"/>
      <c r="I69" s="115">
        <v>0</v>
      </c>
      <c r="J69" s="313"/>
      <c r="K69" s="308">
        <v>0</v>
      </c>
    </row>
    <row r="70" spans="1:11" ht="18" customHeight="1" x14ac:dyDescent="0.4">
      <c r="A70" s="1" t="s">
        <v>178</v>
      </c>
      <c r="B70" s="400"/>
      <c r="C70" s="401"/>
      <c r="D70" s="402"/>
      <c r="E70" s="95"/>
      <c r="F70" s="104"/>
      <c r="G70" s="104"/>
      <c r="H70" s="105"/>
      <c r="I70" s="115">
        <v>0</v>
      </c>
      <c r="J70" s="105"/>
      <c r="K70" s="308">
        <v>0</v>
      </c>
    </row>
    <row r="71" spans="1:11" ht="18" customHeight="1" x14ac:dyDescent="0.4">
      <c r="A71" s="1" t="s">
        <v>179</v>
      </c>
      <c r="B71" s="400"/>
      <c r="C71" s="401"/>
      <c r="D71" s="402"/>
      <c r="E71" s="95"/>
      <c r="F71" s="104"/>
      <c r="G71" s="104"/>
      <c r="H71" s="105"/>
      <c r="I71" s="115">
        <v>0</v>
      </c>
      <c r="J71" s="105"/>
      <c r="K71" s="308">
        <v>0</v>
      </c>
    </row>
    <row r="72" spans="1:11" ht="18" customHeight="1" x14ac:dyDescent="0.4">
      <c r="A72" s="1" t="s">
        <v>180</v>
      </c>
      <c r="B72" s="406"/>
      <c r="C72" s="407"/>
      <c r="D72" s="408"/>
      <c r="E72" s="95"/>
      <c r="F72" s="306"/>
      <c r="G72" s="306"/>
      <c r="H72" s="307"/>
      <c r="I72" s="115">
        <v>0</v>
      </c>
      <c r="J72" s="307"/>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0</v>
      </c>
      <c r="G74" s="411">
        <v>0</v>
      </c>
      <c r="H74" s="411">
        <v>0</v>
      </c>
      <c r="I74" s="412">
        <v>0</v>
      </c>
      <c r="J74" s="411">
        <v>0</v>
      </c>
      <c r="K74" s="30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22">
        <v>28790</v>
      </c>
      <c r="I77" s="533">
        <v>0</v>
      </c>
      <c r="J77" s="322"/>
      <c r="K77" s="321">
        <v>28790</v>
      </c>
    </row>
    <row r="78" spans="1:11" ht="18" customHeight="1" x14ac:dyDescent="0.4">
      <c r="A78" s="1" t="s">
        <v>108</v>
      </c>
      <c r="B78" s="94" t="s">
        <v>55</v>
      </c>
      <c r="F78" s="306"/>
      <c r="G78" s="306"/>
      <c r="H78" s="322"/>
      <c r="I78" s="533">
        <v>0</v>
      </c>
      <c r="J78" s="322"/>
      <c r="K78" s="321">
        <v>0</v>
      </c>
    </row>
    <row r="79" spans="1:11" ht="18" customHeight="1" x14ac:dyDescent="0.4">
      <c r="A79" s="1" t="s">
        <v>109</v>
      </c>
      <c r="B79" s="94" t="s">
        <v>13</v>
      </c>
      <c r="F79" s="306">
        <v>36</v>
      </c>
      <c r="G79" s="306"/>
      <c r="H79" s="322">
        <v>5797</v>
      </c>
      <c r="I79" s="533">
        <v>0</v>
      </c>
      <c r="J79" s="322"/>
      <c r="K79" s="321">
        <v>5797</v>
      </c>
    </row>
    <row r="80" spans="1:11" ht="18" customHeight="1" x14ac:dyDescent="0.4">
      <c r="A80" s="1" t="s">
        <v>110</v>
      </c>
      <c r="B80" s="94" t="s">
        <v>56</v>
      </c>
      <c r="F80" s="306"/>
      <c r="G80" s="306"/>
      <c r="H80" s="322"/>
      <c r="I80" s="533">
        <v>0</v>
      </c>
      <c r="J80" s="322"/>
      <c r="K80" s="321">
        <v>0</v>
      </c>
    </row>
    <row r="81" spans="1:11" ht="18" customHeight="1" x14ac:dyDescent="0.4">
      <c r="A81" s="1"/>
      <c r="H81" s="212"/>
      <c r="I81" s="212"/>
      <c r="J81" s="212"/>
      <c r="K81" s="537"/>
    </row>
    <row r="82" spans="1:11" ht="18" customHeight="1" x14ac:dyDescent="0.4">
      <c r="A82" s="1" t="s">
        <v>148</v>
      </c>
      <c r="B82" s="95" t="s">
        <v>149</v>
      </c>
      <c r="E82" s="95" t="s">
        <v>7</v>
      </c>
      <c r="F82" s="411">
        <v>36</v>
      </c>
      <c r="G82" s="411">
        <v>0</v>
      </c>
      <c r="H82" s="324">
        <v>34587</v>
      </c>
      <c r="I82" s="324">
        <v>0</v>
      </c>
      <c r="J82" s="324">
        <v>0</v>
      </c>
      <c r="K82" s="324">
        <v>34587</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538"/>
      <c r="G86" s="306"/>
      <c r="H86" s="322">
        <v>20150</v>
      </c>
      <c r="I86" s="533">
        <v>0</v>
      </c>
      <c r="J86" s="322"/>
      <c r="K86" s="321">
        <v>20150</v>
      </c>
    </row>
    <row r="87" spans="1:11" ht="18" customHeight="1" x14ac:dyDescent="0.4">
      <c r="A87" s="1" t="s">
        <v>114</v>
      </c>
      <c r="B87" s="94" t="s">
        <v>14</v>
      </c>
      <c r="F87" s="538">
        <v>84</v>
      </c>
      <c r="G87" s="306"/>
      <c r="H87" s="322">
        <v>10334</v>
      </c>
      <c r="I87" s="533">
        <v>0</v>
      </c>
      <c r="J87" s="322"/>
      <c r="K87" s="321">
        <v>10334</v>
      </c>
    </row>
    <row r="88" spans="1:11" ht="18" customHeight="1" x14ac:dyDescent="0.4">
      <c r="A88" s="1" t="s">
        <v>115</v>
      </c>
      <c r="B88" s="94" t="s">
        <v>116</v>
      </c>
      <c r="F88" s="538">
        <v>75.5</v>
      </c>
      <c r="G88" s="306"/>
      <c r="H88" s="322">
        <v>7442</v>
      </c>
      <c r="I88" s="533">
        <v>0</v>
      </c>
      <c r="J88" s="322"/>
      <c r="K88" s="321">
        <v>7442</v>
      </c>
    </row>
    <row r="89" spans="1:11" ht="18" customHeight="1" x14ac:dyDescent="0.4">
      <c r="A89" s="1" t="s">
        <v>117</v>
      </c>
      <c r="B89" s="94" t="s">
        <v>58</v>
      </c>
      <c r="F89" s="538">
        <v>369</v>
      </c>
      <c r="G89" s="306">
        <v>7</v>
      </c>
      <c r="H89" s="322">
        <v>15854</v>
      </c>
      <c r="I89" s="533">
        <v>0</v>
      </c>
      <c r="J89" s="322"/>
      <c r="K89" s="321">
        <v>15854</v>
      </c>
    </row>
    <row r="90" spans="1:11" ht="18" customHeight="1" x14ac:dyDescent="0.4">
      <c r="A90" s="1" t="s">
        <v>118</v>
      </c>
      <c r="B90" s="635" t="s">
        <v>59</v>
      </c>
      <c r="C90" s="636"/>
      <c r="F90" s="538"/>
      <c r="G90" s="306"/>
      <c r="H90" s="322"/>
      <c r="I90" s="533">
        <v>0</v>
      </c>
      <c r="J90" s="322"/>
      <c r="K90" s="321">
        <v>0</v>
      </c>
    </row>
    <row r="91" spans="1:11" ht="18" customHeight="1" x14ac:dyDescent="0.4">
      <c r="A91" s="1" t="s">
        <v>119</v>
      </c>
      <c r="B91" s="94" t="s">
        <v>60</v>
      </c>
      <c r="F91" s="538"/>
      <c r="G91" s="306"/>
      <c r="H91" s="322"/>
      <c r="I91" s="533">
        <v>0</v>
      </c>
      <c r="J91" s="322"/>
      <c r="K91" s="321">
        <v>0</v>
      </c>
    </row>
    <row r="92" spans="1:11" ht="18" customHeight="1" x14ac:dyDescent="0.4">
      <c r="A92" s="1" t="s">
        <v>120</v>
      </c>
      <c r="B92" s="94" t="s">
        <v>121</v>
      </c>
      <c r="F92" s="539"/>
      <c r="G92" s="107"/>
      <c r="H92" s="504">
        <v>26386</v>
      </c>
      <c r="I92" s="533">
        <v>0</v>
      </c>
      <c r="J92" s="504"/>
      <c r="K92" s="321">
        <v>26386</v>
      </c>
    </row>
    <row r="93" spans="1:11" ht="18" customHeight="1" x14ac:dyDescent="0.4">
      <c r="A93" s="1" t="s">
        <v>122</v>
      </c>
      <c r="B93" s="94" t="s">
        <v>123</v>
      </c>
      <c r="F93" s="538"/>
      <c r="G93" s="306"/>
      <c r="H93" s="322">
        <v>3594</v>
      </c>
      <c r="I93" s="533">
        <v>0</v>
      </c>
      <c r="J93" s="322"/>
      <c r="K93" s="321">
        <v>3594</v>
      </c>
    </row>
    <row r="94" spans="1:11" ht="18" customHeight="1" x14ac:dyDescent="0.4">
      <c r="A94" s="1" t="s">
        <v>124</v>
      </c>
      <c r="B94" s="655"/>
      <c r="C94" s="653"/>
      <c r="D94" s="654"/>
      <c r="F94" s="538"/>
      <c r="G94" s="306"/>
      <c r="H94" s="322"/>
      <c r="I94" s="533">
        <v>0</v>
      </c>
      <c r="J94" s="322"/>
      <c r="K94" s="321">
        <v>0</v>
      </c>
    </row>
    <row r="95" spans="1:11" ht="18" customHeight="1" x14ac:dyDescent="0.4">
      <c r="A95" s="1" t="s">
        <v>125</v>
      </c>
      <c r="B95" s="655"/>
      <c r="C95" s="653"/>
      <c r="D95" s="654"/>
      <c r="F95" s="538"/>
      <c r="G95" s="306"/>
      <c r="H95" s="322"/>
      <c r="I95" s="533">
        <v>0</v>
      </c>
      <c r="J95" s="322"/>
      <c r="K95" s="321">
        <v>0</v>
      </c>
    </row>
    <row r="96" spans="1:11" ht="18" customHeight="1" x14ac:dyDescent="0.4">
      <c r="A96" s="1" t="s">
        <v>126</v>
      </c>
      <c r="B96" s="655"/>
      <c r="C96" s="653"/>
      <c r="D96" s="654"/>
      <c r="F96" s="538"/>
      <c r="G96" s="306"/>
      <c r="H96" s="322"/>
      <c r="I96" s="533">
        <v>0</v>
      </c>
      <c r="J96" s="322"/>
      <c r="K96" s="321">
        <v>0</v>
      </c>
    </row>
    <row r="97" spans="1:11" ht="18" customHeight="1" x14ac:dyDescent="0.4">
      <c r="A97" s="1"/>
      <c r="B97" s="94"/>
      <c r="F97" s="540"/>
      <c r="H97" s="212"/>
      <c r="I97" s="212"/>
      <c r="J97" s="212"/>
      <c r="K97" s="212"/>
    </row>
    <row r="98" spans="1:11" ht="18" customHeight="1" x14ac:dyDescent="0.4">
      <c r="A98" s="98" t="s">
        <v>150</v>
      </c>
      <c r="B98" s="95" t="s">
        <v>151</v>
      </c>
      <c r="E98" s="95" t="s">
        <v>7</v>
      </c>
      <c r="F98" s="541">
        <v>528.5</v>
      </c>
      <c r="G98" s="310">
        <v>7</v>
      </c>
      <c r="H98" s="321">
        <v>83760</v>
      </c>
      <c r="I98" s="321">
        <v>0</v>
      </c>
      <c r="J98" s="321">
        <v>0</v>
      </c>
      <c r="K98" s="321">
        <v>83760</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3054</v>
      </c>
      <c r="G102" s="306"/>
      <c r="H102" s="322">
        <v>141690</v>
      </c>
      <c r="I102" s="533">
        <v>92218</v>
      </c>
      <c r="J102" s="322"/>
      <c r="K102" s="321">
        <v>233908</v>
      </c>
    </row>
    <row r="103" spans="1:11" ht="18" customHeight="1" x14ac:dyDescent="0.4">
      <c r="A103" s="1" t="s">
        <v>132</v>
      </c>
      <c r="B103" s="635" t="s">
        <v>62</v>
      </c>
      <c r="C103" s="635"/>
      <c r="F103" s="306"/>
      <c r="G103" s="306"/>
      <c r="H103" s="322"/>
      <c r="I103" s="533">
        <v>0</v>
      </c>
      <c r="J103" s="322"/>
      <c r="K103" s="321">
        <v>0</v>
      </c>
    </row>
    <row r="104" spans="1:11" ht="18" customHeight="1" x14ac:dyDescent="0.4">
      <c r="A104" s="1" t="s">
        <v>128</v>
      </c>
      <c r="B104" s="652" t="s">
        <v>298</v>
      </c>
      <c r="C104" s="653"/>
      <c r="D104" s="654"/>
      <c r="F104" s="306"/>
      <c r="G104" s="306"/>
      <c r="H104" s="322">
        <v>112530</v>
      </c>
      <c r="I104" s="533">
        <v>0</v>
      </c>
      <c r="J104" s="322"/>
      <c r="K104" s="321">
        <v>112530</v>
      </c>
    </row>
    <row r="105" spans="1:11" ht="18" customHeight="1" x14ac:dyDescent="0.4">
      <c r="A105" s="1" t="s">
        <v>127</v>
      </c>
      <c r="B105" s="655"/>
      <c r="C105" s="653"/>
      <c r="D105" s="654"/>
      <c r="F105" s="306"/>
      <c r="G105" s="306"/>
      <c r="H105" s="322"/>
      <c r="I105" s="533">
        <v>0</v>
      </c>
      <c r="J105" s="322"/>
      <c r="K105" s="321">
        <v>0</v>
      </c>
    </row>
    <row r="106" spans="1:11" ht="18" customHeight="1" x14ac:dyDescent="0.4">
      <c r="A106" s="1" t="s">
        <v>129</v>
      </c>
      <c r="B106" s="655"/>
      <c r="C106" s="653"/>
      <c r="D106" s="654"/>
      <c r="F106" s="306"/>
      <c r="G106" s="306"/>
      <c r="H106" s="322"/>
      <c r="I106" s="533">
        <v>0</v>
      </c>
      <c r="J106" s="322"/>
      <c r="K106" s="321">
        <v>0</v>
      </c>
    </row>
    <row r="107" spans="1:11" ht="18" customHeight="1" x14ac:dyDescent="0.4">
      <c r="B107" s="95"/>
      <c r="H107" s="212"/>
      <c r="I107" s="212"/>
      <c r="J107" s="212"/>
      <c r="K107" s="212"/>
    </row>
    <row r="108" spans="1:11" ht="18" customHeight="1" x14ac:dyDescent="0.4">
      <c r="A108" s="98" t="s">
        <v>153</v>
      </c>
      <c r="B108" s="95" t="s">
        <v>154</v>
      </c>
      <c r="E108" s="95" t="s">
        <v>7</v>
      </c>
      <c r="F108" s="310">
        <v>3054</v>
      </c>
      <c r="G108" s="310">
        <v>0</v>
      </c>
      <c r="H108" s="321">
        <v>254220</v>
      </c>
      <c r="I108" s="321">
        <v>92218</v>
      </c>
      <c r="J108" s="321">
        <v>0</v>
      </c>
      <c r="K108" s="321">
        <v>346438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22">
        <v>5448214</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0.91790000000000005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22">
        <v>166294940</v>
      </c>
    </row>
    <row r="118" spans="1:6" ht="18" customHeight="1" x14ac:dyDescent="0.4">
      <c r="A118" s="1" t="s">
        <v>173</v>
      </c>
      <c r="B118" t="s">
        <v>18</v>
      </c>
      <c r="F118" s="322">
        <v>27745836</v>
      </c>
    </row>
    <row r="119" spans="1:6" ht="18" customHeight="1" x14ac:dyDescent="0.4">
      <c r="A119" s="1" t="s">
        <v>174</v>
      </c>
      <c r="B119" s="95" t="s">
        <v>19</v>
      </c>
      <c r="F119" s="324">
        <v>194040776</v>
      </c>
    </row>
    <row r="120" spans="1:6" ht="18" customHeight="1" x14ac:dyDescent="0.4">
      <c r="A120" s="1"/>
      <c r="B120" s="95"/>
    </row>
    <row r="121" spans="1:6" ht="18" customHeight="1" x14ac:dyDescent="0.4">
      <c r="A121" s="1" t="s">
        <v>167</v>
      </c>
      <c r="B121" s="95" t="s">
        <v>36</v>
      </c>
      <c r="F121" s="322">
        <v>191182619</v>
      </c>
    </row>
    <row r="122" spans="1:6" ht="18" customHeight="1" x14ac:dyDescent="0.4">
      <c r="A122" s="1"/>
      <c r="F122" s="212"/>
    </row>
    <row r="123" spans="1:6" ht="18" customHeight="1" x14ac:dyDescent="0.4">
      <c r="A123" s="1" t="s">
        <v>175</v>
      </c>
      <c r="B123" s="95" t="s">
        <v>20</v>
      </c>
      <c r="F123" s="322">
        <v>2858157</v>
      </c>
    </row>
    <row r="124" spans="1:6" ht="18" customHeight="1" x14ac:dyDescent="0.4">
      <c r="A124" s="1"/>
      <c r="F124" s="212"/>
    </row>
    <row r="125" spans="1:6" ht="18" customHeight="1" x14ac:dyDescent="0.4">
      <c r="A125" s="1" t="s">
        <v>176</v>
      </c>
      <c r="B125" s="95" t="s">
        <v>21</v>
      </c>
      <c r="F125" s="322">
        <v>52069</v>
      </c>
    </row>
    <row r="126" spans="1:6" ht="18" customHeight="1" x14ac:dyDescent="0.4">
      <c r="A126" s="1"/>
      <c r="F126" s="212"/>
    </row>
    <row r="127" spans="1:6" ht="18" customHeight="1" x14ac:dyDescent="0.4">
      <c r="A127" s="1" t="s">
        <v>177</v>
      </c>
      <c r="B127" s="95" t="s">
        <v>22</v>
      </c>
      <c r="F127" s="322">
        <v>2910226</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369">
        <v>22137.5</v>
      </c>
      <c r="G141" s="369">
        <v>66690</v>
      </c>
      <c r="H141" s="369">
        <v>2273390</v>
      </c>
      <c r="I141" s="369">
        <v>1488818</v>
      </c>
      <c r="J141" s="369">
        <v>1343037</v>
      </c>
      <c r="K141" s="369">
        <v>2419171</v>
      </c>
    </row>
    <row r="142" spans="1:11" ht="18" customHeight="1" x14ac:dyDescent="0.4">
      <c r="A142" s="1" t="s">
        <v>142</v>
      </c>
      <c r="B142" s="95" t="s">
        <v>65</v>
      </c>
      <c r="F142" s="369">
        <v>50064</v>
      </c>
      <c r="G142" s="369">
        <v>1616</v>
      </c>
      <c r="H142" s="369">
        <v>3129588</v>
      </c>
      <c r="I142" s="369">
        <v>2872583</v>
      </c>
      <c r="J142" s="369">
        <v>0</v>
      </c>
      <c r="K142" s="369">
        <v>6002171</v>
      </c>
    </row>
    <row r="143" spans="1:11" ht="18" customHeight="1" x14ac:dyDescent="0.4">
      <c r="A143" s="1" t="s">
        <v>144</v>
      </c>
      <c r="B143" s="95" t="s">
        <v>66</v>
      </c>
      <c r="F143" s="369">
        <v>0</v>
      </c>
      <c r="G143" s="369">
        <v>0</v>
      </c>
      <c r="H143" s="369">
        <v>16652797</v>
      </c>
      <c r="I143" s="369">
        <v>0</v>
      </c>
      <c r="J143" s="369">
        <v>7801071</v>
      </c>
      <c r="K143" s="369">
        <v>8851726</v>
      </c>
    </row>
    <row r="144" spans="1:11" ht="18" customHeight="1" x14ac:dyDescent="0.4">
      <c r="A144" s="1" t="s">
        <v>146</v>
      </c>
      <c r="B144" s="95" t="s">
        <v>67</v>
      </c>
      <c r="F144" s="369">
        <v>0</v>
      </c>
      <c r="G144" s="369">
        <v>0</v>
      </c>
      <c r="H144" s="369">
        <v>0</v>
      </c>
      <c r="I144" s="369">
        <v>0</v>
      </c>
      <c r="J144" s="369">
        <v>0</v>
      </c>
      <c r="K144" s="369">
        <v>0</v>
      </c>
    </row>
    <row r="145" spans="1:11" ht="18" customHeight="1" x14ac:dyDescent="0.4">
      <c r="A145" s="1" t="s">
        <v>148</v>
      </c>
      <c r="B145" s="95" t="s">
        <v>68</v>
      </c>
      <c r="F145" s="369">
        <v>36</v>
      </c>
      <c r="G145" s="369">
        <v>0</v>
      </c>
      <c r="H145" s="369">
        <v>34587</v>
      </c>
      <c r="I145" s="369">
        <v>0</v>
      </c>
      <c r="J145" s="369">
        <v>0</v>
      </c>
      <c r="K145" s="369">
        <v>34587</v>
      </c>
    </row>
    <row r="146" spans="1:11" ht="18" customHeight="1" x14ac:dyDescent="0.4">
      <c r="A146" s="1" t="s">
        <v>150</v>
      </c>
      <c r="B146" s="95" t="s">
        <v>69</v>
      </c>
      <c r="F146" s="369">
        <v>528.5</v>
      </c>
      <c r="G146" s="369">
        <v>7</v>
      </c>
      <c r="H146" s="369">
        <v>83760</v>
      </c>
      <c r="I146" s="369">
        <v>0</v>
      </c>
      <c r="J146" s="369">
        <v>0</v>
      </c>
      <c r="K146" s="369">
        <v>83760</v>
      </c>
    </row>
    <row r="147" spans="1:11" ht="18" customHeight="1" x14ac:dyDescent="0.4">
      <c r="A147" s="1" t="s">
        <v>153</v>
      </c>
      <c r="B147" s="95" t="s">
        <v>61</v>
      </c>
      <c r="F147" s="321">
        <v>3054</v>
      </c>
      <c r="G147" s="321">
        <v>0</v>
      </c>
      <c r="H147" s="321">
        <v>254220</v>
      </c>
      <c r="I147" s="321">
        <v>92218</v>
      </c>
      <c r="J147" s="321">
        <v>0</v>
      </c>
      <c r="K147" s="321">
        <v>346438</v>
      </c>
    </row>
    <row r="148" spans="1:11" ht="18" customHeight="1" x14ac:dyDescent="0.4">
      <c r="A148" s="1" t="s">
        <v>155</v>
      </c>
      <c r="B148" s="95" t="s">
        <v>70</v>
      </c>
      <c r="F148" s="457" t="s">
        <v>73</v>
      </c>
      <c r="G148" s="457" t="s">
        <v>73</v>
      </c>
      <c r="H148" s="457" t="s">
        <v>73</v>
      </c>
      <c r="I148" s="457" t="s">
        <v>73</v>
      </c>
      <c r="J148" s="457" t="s">
        <v>73</v>
      </c>
      <c r="K148" s="369">
        <v>5448214</v>
      </c>
    </row>
    <row r="149" spans="1:11" ht="18" customHeight="1" x14ac:dyDescent="0.4">
      <c r="A149" s="1" t="s">
        <v>163</v>
      </c>
      <c r="B149" s="95" t="s">
        <v>71</v>
      </c>
      <c r="F149" s="321">
        <v>0</v>
      </c>
      <c r="G149" s="321">
        <v>0</v>
      </c>
      <c r="H149" s="321">
        <v>0</v>
      </c>
      <c r="I149" s="321">
        <v>0</v>
      </c>
      <c r="J149" s="321">
        <v>0</v>
      </c>
      <c r="K149" s="321">
        <v>0</v>
      </c>
    </row>
    <row r="150" spans="1:11" ht="18" customHeight="1" x14ac:dyDescent="0.4">
      <c r="A150" s="1" t="s">
        <v>185</v>
      </c>
      <c r="B150" s="95" t="s">
        <v>186</v>
      </c>
      <c r="F150" s="457" t="s">
        <v>73</v>
      </c>
      <c r="G150" s="457" t="s">
        <v>73</v>
      </c>
      <c r="H150" s="322">
        <v>3390351.83</v>
      </c>
      <c r="I150" s="533">
        <v>0</v>
      </c>
      <c r="J150" s="322">
        <v>2809822.4</v>
      </c>
      <c r="K150" s="321">
        <f>H150-J150</f>
        <v>580529.43000000017</v>
      </c>
    </row>
    <row r="151" spans="1:11" ht="18" customHeight="1" x14ac:dyDescent="0.4">
      <c r="B151" s="95"/>
      <c r="F151" s="436"/>
      <c r="G151" s="436"/>
      <c r="H151" s="436"/>
      <c r="I151" s="436"/>
      <c r="J151" s="436"/>
      <c r="K151" s="436"/>
    </row>
    <row r="152" spans="1:11" ht="18" customHeight="1" x14ac:dyDescent="0.4">
      <c r="A152" s="98" t="s">
        <v>165</v>
      </c>
      <c r="B152" s="95" t="s">
        <v>26</v>
      </c>
      <c r="F152" s="460">
        <v>75820</v>
      </c>
      <c r="G152" s="460">
        <v>68313</v>
      </c>
      <c r="H152" s="460">
        <f>SUM(H141:H150)</f>
        <v>25818693.829999998</v>
      </c>
      <c r="I152" s="460">
        <f t="shared" ref="I152:K152" si="0">SUM(I141:I150)</f>
        <v>4453619</v>
      </c>
      <c r="J152" s="460">
        <f t="shared" si="0"/>
        <v>11953930.4</v>
      </c>
      <c r="K152" s="460">
        <f t="shared" si="0"/>
        <v>23766596.43</v>
      </c>
    </row>
    <row r="154" spans="1:11" ht="18" customHeight="1" x14ac:dyDescent="0.4">
      <c r="A154" s="98" t="s">
        <v>168</v>
      </c>
      <c r="B154" s="95" t="s">
        <v>28</v>
      </c>
      <c r="F154" s="318">
        <v>0.12449838340168361</v>
      </c>
    </row>
    <row r="155" spans="1:11" ht="18" customHeight="1" x14ac:dyDescent="0.4">
      <c r="A155" s="98" t="s">
        <v>169</v>
      </c>
      <c r="B155" s="95" t="s">
        <v>72</v>
      </c>
      <c r="F155" s="318">
        <v>8.178721171482902</v>
      </c>
      <c r="G155" s="95"/>
    </row>
    <row r="156" spans="1:11" ht="18" customHeight="1" x14ac:dyDescent="0.4">
      <c r="G156" s="95"/>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xr:uid="{1D797C12-771A-47B6-A3FF-CCFE15CBF516}"/>
  </hyperlinks>
  <pageMargins left="0.7" right="0.7" top="0.75" bottom="0.75" header="0.3" footer="0.3"/>
  <pageSetup scale="18" orientation="landscap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dimension ref="A1:K156"/>
  <sheetViews>
    <sheetView showGridLines="0" zoomScale="80" zoomScaleNormal="80" zoomScaleSheetLayoutView="100" workbookViewId="0">
      <selection activeCell="E100" sqref="E100"/>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90" t="s">
        <v>771</v>
      </c>
      <c r="D5" s="791"/>
      <c r="E5" s="791"/>
      <c r="F5" s="791"/>
      <c r="G5" s="792"/>
    </row>
    <row r="6" spans="1:11" ht="18" customHeight="1" x14ac:dyDescent="0.4">
      <c r="B6" s="1" t="s">
        <v>3</v>
      </c>
      <c r="C6" s="683">
        <v>210035</v>
      </c>
      <c r="D6" s="684"/>
      <c r="E6" s="684"/>
      <c r="F6" s="684"/>
      <c r="G6" s="685"/>
    </row>
    <row r="7" spans="1:11" ht="18" customHeight="1" x14ac:dyDescent="0.4">
      <c r="B7" s="1" t="s">
        <v>4</v>
      </c>
      <c r="C7" s="686">
        <v>872</v>
      </c>
      <c r="D7" s="687"/>
      <c r="E7" s="687"/>
      <c r="F7" s="687"/>
      <c r="G7" s="688"/>
    </row>
    <row r="9" spans="1:11" ht="18" customHeight="1" x14ac:dyDescent="0.4">
      <c r="B9" s="1" t="s">
        <v>1</v>
      </c>
      <c r="C9" s="793" t="s">
        <v>629</v>
      </c>
      <c r="D9" s="664"/>
      <c r="E9" s="664"/>
      <c r="F9" s="664"/>
      <c r="G9" s="665"/>
    </row>
    <row r="10" spans="1:11" ht="18" customHeight="1" x14ac:dyDescent="0.4">
      <c r="B10" s="1" t="s">
        <v>2</v>
      </c>
      <c r="C10" s="660" t="s">
        <v>630</v>
      </c>
      <c r="D10" s="661"/>
      <c r="E10" s="661"/>
      <c r="F10" s="661"/>
      <c r="G10" s="662"/>
    </row>
    <row r="11" spans="1:11" ht="18" customHeight="1" x14ac:dyDescent="0.4">
      <c r="B11" s="1" t="s">
        <v>32</v>
      </c>
      <c r="C11" s="682" t="s">
        <v>631</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2896800.58</v>
      </c>
      <c r="I18" s="115">
        <v>0</v>
      </c>
      <c r="J18" s="307">
        <v>2400781.86</v>
      </c>
      <c r="K18" s="308">
        <f>(H18+I18)-J18</f>
        <v>496018.7200000002</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2827</v>
      </c>
      <c r="G21" s="306">
        <v>122383</v>
      </c>
      <c r="H21" s="307">
        <v>203113</v>
      </c>
      <c r="I21" s="115">
        <f>H21*F$114</f>
        <v>137466.87839999999</v>
      </c>
      <c r="J21" s="307">
        <v>0</v>
      </c>
      <c r="K21" s="308">
        <f t="shared" ref="K21:K34" si="0">(H21+I21)-J21</f>
        <v>340579.87839999999</v>
      </c>
    </row>
    <row r="22" spans="1:11" ht="18" customHeight="1" x14ac:dyDescent="0.4">
      <c r="A22" s="1" t="s">
        <v>76</v>
      </c>
      <c r="B22" t="s">
        <v>6</v>
      </c>
      <c r="F22" s="306"/>
      <c r="G22" s="306"/>
      <c r="H22" s="307"/>
      <c r="I22" s="115">
        <f t="shared" ref="I22:I34" si="1">H22*F$114</f>
        <v>0</v>
      </c>
      <c r="J22" s="307"/>
      <c r="K22" s="308">
        <f t="shared" si="0"/>
        <v>0</v>
      </c>
    </row>
    <row r="23" spans="1:11" ht="18" customHeight="1" x14ac:dyDescent="0.4">
      <c r="A23" s="1" t="s">
        <v>77</v>
      </c>
      <c r="B23" t="s">
        <v>43</v>
      </c>
      <c r="F23" s="306"/>
      <c r="G23" s="306"/>
      <c r="H23" s="307"/>
      <c r="I23" s="115">
        <f t="shared" si="1"/>
        <v>0</v>
      </c>
      <c r="J23" s="307"/>
      <c r="K23" s="308">
        <f t="shared" si="0"/>
        <v>0</v>
      </c>
    </row>
    <row r="24" spans="1:11" ht="18" customHeight="1" x14ac:dyDescent="0.4">
      <c r="A24" s="1" t="s">
        <v>78</v>
      </c>
      <c r="B24" t="s">
        <v>44</v>
      </c>
      <c r="F24" s="306">
        <v>49</v>
      </c>
      <c r="G24" s="306">
        <v>296</v>
      </c>
      <c r="H24" s="307">
        <v>2374</v>
      </c>
      <c r="I24" s="115">
        <f t="shared" si="1"/>
        <v>1606.7231999999999</v>
      </c>
      <c r="J24" s="307">
        <v>0</v>
      </c>
      <c r="K24" s="308">
        <f t="shared" si="0"/>
        <v>3980.7231999999999</v>
      </c>
    </row>
    <row r="25" spans="1:11" ht="18" customHeight="1" x14ac:dyDescent="0.4">
      <c r="A25" s="1" t="s">
        <v>79</v>
      </c>
      <c r="B25" t="s">
        <v>5</v>
      </c>
      <c r="F25" s="306"/>
      <c r="G25" s="306"/>
      <c r="H25" s="307"/>
      <c r="I25" s="115">
        <f t="shared" si="1"/>
        <v>0</v>
      </c>
      <c r="J25" s="307"/>
      <c r="K25" s="308">
        <f t="shared" si="0"/>
        <v>0</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v>1209</v>
      </c>
      <c r="G29" s="306">
        <v>353</v>
      </c>
      <c r="H29" s="307">
        <v>452951</v>
      </c>
      <c r="I29" s="115">
        <f>H29*F$114</f>
        <v>306557.23679999996</v>
      </c>
      <c r="J29" s="307">
        <v>310</v>
      </c>
      <c r="K29" s="308">
        <f t="shared" si="0"/>
        <v>759198.23679999996</v>
      </c>
    </row>
    <row r="30" spans="1:11" ht="18" customHeight="1" x14ac:dyDescent="0.4">
      <c r="A30" s="1" t="s">
        <v>84</v>
      </c>
      <c r="B30" s="630" t="s">
        <v>772</v>
      </c>
      <c r="C30" s="631"/>
      <c r="D30" s="632"/>
      <c r="F30" s="306">
        <v>733.5</v>
      </c>
      <c r="G30" s="306">
        <v>195</v>
      </c>
      <c r="H30" s="307">
        <v>37509</v>
      </c>
      <c r="I30" s="115">
        <f t="shared" si="1"/>
        <v>25386.091199999999</v>
      </c>
      <c r="J30" s="307">
        <v>0</v>
      </c>
      <c r="K30" s="308">
        <f t="shared" si="0"/>
        <v>62895.091199999995</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4818.5</v>
      </c>
      <c r="G36" s="310">
        <f t="shared" si="2"/>
        <v>123227</v>
      </c>
      <c r="H36" s="310">
        <f t="shared" si="2"/>
        <v>695947</v>
      </c>
      <c r="I36" s="308">
        <f t="shared" si="2"/>
        <v>471016.92959999997</v>
      </c>
      <c r="J36" s="308">
        <f t="shared" si="2"/>
        <v>310</v>
      </c>
      <c r="K36" s="308">
        <f t="shared" si="2"/>
        <v>1166653.9295999999</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f t="shared" ref="I40:I47" si="3">H40*F$114</f>
        <v>0</v>
      </c>
      <c r="J40" s="307"/>
      <c r="K40" s="308">
        <f t="shared" ref="K40:K47" si="4">(H40+I40)-J40</f>
        <v>0</v>
      </c>
    </row>
    <row r="41" spans="1:11" ht="18" customHeight="1" x14ac:dyDescent="0.4">
      <c r="A41" s="1" t="s">
        <v>88</v>
      </c>
      <c r="B41" s="635" t="s">
        <v>50</v>
      </c>
      <c r="C41" s="636"/>
      <c r="F41" s="306">
        <v>1900</v>
      </c>
      <c r="G41" s="306"/>
      <c r="H41" s="307">
        <v>63648</v>
      </c>
      <c r="I41" s="115">
        <f t="shared" si="3"/>
        <v>43076.966399999998</v>
      </c>
      <c r="J41" s="307">
        <v>0</v>
      </c>
      <c r="K41" s="308">
        <f t="shared" si="4"/>
        <v>106724.9664</v>
      </c>
    </row>
    <row r="42" spans="1:11" ht="18" customHeight="1" x14ac:dyDescent="0.4">
      <c r="A42" s="1" t="s">
        <v>89</v>
      </c>
      <c r="B42" s="94" t="s">
        <v>11</v>
      </c>
      <c r="F42" s="306">
        <v>564</v>
      </c>
      <c r="G42" s="306"/>
      <c r="H42" s="307">
        <v>18892</v>
      </c>
      <c r="I42" s="115">
        <f>H42*F$114</f>
        <v>12786.105599999999</v>
      </c>
      <c r="J42" s="307">
        <v>0</v>
      </c>
      <c r="K42" s="308">
        <f t="shared" si="4"/>
        <v>31678.105599999999</v>
      </c>
    </row>
    <row r="43" spans="1:11" ht="18" customHeight="1" x14ac:dyDescent="0.4">
      <c r="A43" s="1" t="s">
        <v>90</v>
      </c>
      <c r="B43" s="94" t="s">
        <v>10</v>
      </c>
      <c r="F43" s="306"/>
      <c r="G43" s="306"/>
      <c r="H43" s="307"/>
      <c r="I43" s="115">
        <f t="shared" si="3"/>
        <v>0</v>
      </c>
      <c r="J43" s="307"/>
      <c r="K43" s="308">
        <f t="shared" si="4"/>
        <v>0</v>
      </c>
    </row>
    <row r="44" spans="1:11" ht="18" customHeight="1" x14ac:dyDescent="0.4">
      <c r="A44" s="1" t="s">
        <v>91</v>
      </c>
      <c r="B44" s="630"/>
      <c r="C44" s="631"/>
      <c r="D44" s="632"/>
      <c r="F44" s="311"/>
      <c r="G44" s="311"/>
      <c r="H44" s="311"/>
      <c r="I44" s="116">
        <f t="shared" si="3"/>
        <v>0</v>
      </c>
      <c r="J44" s="311"/>
      <c r="K44" s="353">
        <f t="shared" si="4"/>
        <v>0</v>
      </c>
    </row>
    <row r="45" spans="1:11" ht="18" customHeight="1" x14ac:dyDescent="0.4">
      <c r="A45" s="1" t="s">
        <v>139</v>
      </c>
      <c r="B45" s="630"/>
      <c r="C45" s="631"/>
      <c r="D45" s="632"/>
      <c r="F45" s="306"/>
      <c r="G45" s="306"/>
      <c r="H45" s="307"/>
      <c r="I45" s="115">
        <f t="shared" si="3"/>
        <v>0</v>
      </c>
      <c r="J45" s="307"/>
      <c r="K45" s="308">
        <f t="shared" si="4"/>
        <v>0</v>
      </c>
    </row>
    <row r="46" spans="1:11" ht="18" customHeight="1" x14ac:dyDescent="0.4">
      <c r="A46" s="1" t="s">
        <v>140</v>
      </c>
      <c r="B46" s="630"/>
      <c r="C46" s="631"/>
      <c r="D46" s="632"/>
      <c r="F46" s="306"/>
      <c r="G46" s="306"/>
      <c r="H46" s="307"/>
      <c r="I46" s="115">
        <f t="shared" si="3"/>
        <v>0</v>
      </c>
      <c r="J46" s="307"/>
      <c r="K46" s="308">
        <f t="shared" si="4"/>
        <v>0</v>
      </c>
    </row>
    <row r="47" spans="1:11" ht="18" customHeight="1" x14ac:dyDescent="0.4">
      <c r="A47" s="1" t="s">
        <v>141</v>
      </c>
      <c r="B47" s="630"/>
      <c r="C47" s="631"/>
      <c r="D47" s="632"/>
      <c r="F47" s="306"/>
      <c r="G47" s="306"/>
      <c r="H47" s="307"/>
      <c r="I47" s="115">
        <f t="shared" si="3"/>
        <v>0</v>
      </c>
      <c r="J47" s="307"/>
      <c r="K47" s="308">
        <f t="shared" si="4"/>
        <v>0</v>
      </c>
    </row>
    <row r="49" spans="1:11" ht="18" customHeight="1" x14ac:dyDescent="0.4">
      <c r="A49" s="98" t="s">
        <v>142</v>
      </c>
      <c r="B49" s="95" t="s">
        <v>143</v>
      </c>
      <c r="E49" s="95" t="s">
        <v>7</v>
      </c>
      <c r="F49" s="312">
        <f t="shared" ref="F49:K49" si="5">SUM(F40:F47)</f>
        <v>2464</v>
      </c>
      <c r="G49" s="312">
        <f t="shared" si="5"/>
        <v>0</v>
      </c>
      <c r="H49" s="308">
        <f t="shared" si="5"/>
        <v>82540</v>
      </c>
      <c r="I49" s="308">
        <f t="shared" si="5"/>
        <v>55863.072</v>
      </c>
      <c r="J49" s="308">
        <f t="shared" si="5"/>
        <v>0</v>
      </c>
      <c r="K49" s="308">
        <f t="shared" si="5"/>
        <v>138403.07200000001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632</v>
      </c>
      <c r="C53" s="659"/>
      <c r="D53" s="654"/>
      <c r="F53" s="306"/>
      <c r="G53" s="306"/>
      <c r="H53" s="307">
        <v>1191646</v>
      </c>
      <c r="I53" s="115">
        <v>0</v>
      </c>
      <c r="J53" s="307">
        <v>0</v>
      </c>
      <c r="K53" s="308">
        <f t="shared" ref="K53:K62" si="6">(H53+I53)-J53</f>
        <v>1191646</v>
      </c>
    </row>
    <row r="54" spans="1:11" ht="18" customHeight="1" x14ac:dyDescent="0.4">
      <c r="A54" s="1" t="s">
        <v>93</v>
      </c>
      <c r="B54" s="400" t="s">
        <v>773</v>
      </c>
      <c r="C54" s="401"/>
      <c r="D54" s="402"/>
      <c r="F54" s="306"/>
      <c r="G54" s="306"/>
      <c r="H54" s="307">
        <v>1848217</v>
      </c>
      <c r="I54" s="115">
        <v>0</v>
      </c>
      <c r="J54" s="307">
        <v>0</v>
      </c>
      <c r="K54" s="308">
        <f t="shared" si="6"/>
        <v>1848217</v>
      </c>
    </row>
    <row r="55" spans="1:11" ht="18" customHeight="1" x14ac:dyDescent="0.4">
      <c r="A55" s="1" t="s">
        <v>94</v>
      </c>
      <c r="B55" s="655" t="s">
        <v>633</v>
      </c>
      <c r="C55" s="653"/>
      <c r="D55" s="654"/>
      <c r="F55" s="311"/>
      <c r="G55" s="311"/>
      <c r="H55" s="352">
        <v>2139609</v>
      </c>
      <c r="I55" s="116">
        <v>0</v>
      </c>
      <c r="J55" s="352">
        <v>0</v>
      </c>
      <c r="K55" s="308">
        <f t="shared" si="6"/>
        <v>2139609</v>
      </c>
    </row>
    <row r="56" spans="1:11" ht="18" customHeight="1" x14ac:dyDescent="0.4">
      <c r="A56" s="1" t="s">
        <v>95</v>
      </c>
      <c r="B56" s="655" t="s">
        <v>774</v>
      </c>
      <c r="C56" s="653"/>
      <c r="D56" s="654"/>
      <c r="F56" s="311">
        <v>104</v>
      </c>
      <c r="G56" s="311"/>
      <c r="H56" s="352">
        <v>6425</v>
      </c>
      <c r="I56" s="116">
        <v>4369</v>
      </c>
      <c r="J56" s="352">
        <v>0</v>
      </c>
      <c r="K56" s="353">
        <f t="shared" si="6"/>
        <v>10794</v>
      </c>
    </row>
    <row r="57" spans="1:11" ht="18" customHeight="1" x14ac:dyDescent="0.4">
      <c r="A57" s="1" t="s">
        <v>96</v>
      </c>
      <c r="B57" s="655" t="s">
        <v>775</v>
      </c>
      <c r="C57" s="653"/>
      <c r="D57" s="654"/>
      <c r="F57" s="306"/>
      <c r="G57" s="306"/>
      <c r="H57" s="307">
        <v>1074166</v>
      </c>
      <c r="I57" s="115">
        <v>0</v>
      </c>
      <c r="J57" s="307">
        <v>0</v>
      </c>
      <c r="K57" s="308">
        <f t="shared" si="6"/>
        <v>1074166</v>
      </c>
    </row>
    <row r="58" spans="1:11" ht="18" customHeight="1" x14ac:dyDescent="0.4">
      <c r="A58" s="1" t="s">
        <v>97</v>
      </c>
      <c r="B58" s="400" t="s">
        <v>776</v>
      </c>
      <c r="C58" s="401"/>
      <c r="D58" s="402"/>
      <c r="F58" s="306"/>
      <c r="G58" s="306"/>
      <c r="H58" s="307">
        <v>1570892</v>
      </c>
      <c r="I58" s="115">
        <v>0</v>
      </c>
      <c r="J58" s="307">
        <v>0</v>
      </c>
      <c r="K58" s="308">
        <f t="shared" si="6"/>
        <v>1570892</v>
      </c>
    </row>
    <row r="59" spans="1:11" ht="18" customHeight="1" x14ac:dyDescent="0.4">
      <c r="A59" s="1" t="s">
        <v>98</v>
      </c>
      <c r="B59" s="655" t="s">
        <v>777</v>
      </c>
      <c r="C59" s="653"/>
      <c r="D59" s="654"/>
      <c r="F59" s="306"/>
      <c r="G59" s="306"/>
      <c r="H59" s="307">
        <v>1652432</v>
      </c>
      <c r="I59" s="115">
        <v>0</v>
      </c>
      <c r="J59" s="307">
        <v>0</v>
      </c>
      <c r="K59" s="308">
        <f t="shared" si="6"/>
        <v>1652432</v>
      </c>
    </row>
    <row r="60" spans="1:11" ht="18" customHeight="1" x14ac:dyDescent="0.4">
      <c r="A60" s="1" t="s">
        <v>99</v>
      </c>
      <c r="B60" s="400"/>
      <c r="C60" s="401"/>
      <c r="D60" s="402"/>
      <c r="F60" s="306"/>
      <c r="G60" s="306"/>
      <c r="H60" s="307"/>
      <c r="I60" s="115">
        <v>0</v>
      </c>
      <c r="J60" s="307"/>
      <c r="K60" s="308">
        <f t="shared" si="6"/>
        <v>0</v>
      </c>
    </row>
    <row r="61" spans="1:11" ht="18" customHeight="1" x14ac:dyDescent="0.4">
      <c r="A61" s="1" t="s">
        <v>100</v>
      </c>
      <c r="B61" s="400"/>
      <c r="C61" s="401"/>
      <c r="D61" s="402"/>
      <c r="F61" s="306"/>
      <c r="G61" s="306"/>
      <c r="H61" s="307"/>
      <c r="I61" s="115">
        <v>0</v>
      </c>
      <c r="J61" s="307"/>
      <c r="K61" s="308">
        <f t="shared" si="6"/>
        <v>0</v>
      </c>
    </row>
    <row r="62" spans="1:11" ht="18" customHeight="1" x14ac:dyDescent="0.4">
      <c r="A62" s="1" t="s">
        <v>101</v>
      </c>
      <c r="B62" s="655"/>
      <c r="C62" s="653"/>
      <c r="D62" s="654"/>
      <c r="F62" s="306"/>
      <c r="G62" s="306"/>
      <c r="H62" s="307"/>
      <c r="I62" s="115">
        <v>0</v>
      </c>
      <c r="J62" s="307"/>
      <c r="K62" s="308">
        <f t="shared" si="6"/>
        <v>0</v>
      </c>
    </row>
    <row r="63" spans="1:11" ht="18" customHeight="1" x14ac:dyDescent="0.4">
      <c r="A63" s="1"/>
      <c r="I63" s="403"/>
    </row>
    <row r="64" spans="1:11" ht="18" customHeight="1" x14ac:dyDescent="0.4">
      <c r="A64" s="1" t="s">
        <v>144</v>
      </c>
      <c r="B64" s="95" t="s">
        <v>145</v>
      </c>
      <c r="E64" s="95" t="s">
        <v>7</v>
      </c>
      <c r="F64" s="310">
        <f t="shared" ref="F64:K64" si="7">SUM(F53:F62)</f>
        <v>104</v>
      </c>
      <c r="G64" s="310">
        <f t="shared" si="7"/>
        <v>0</v>
      </c>
      <c r="H64" s="308">
        <f t="shared" si="7"/>
        <v>9483387</v>
      </c>
      <c r="I64" s="308">
        <f t="shared" si="7"/>
        <v>4369</v>
      </c>
      <c r="J64" s="308">
        <f t="shared" si="7"/>
        <v>0</v>
      </c>
      <c r="K64" s="308">
        <f t="shared" si="7"/>
        <v>9487756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8">SUM(F68:F72)</f>
        <v>0</v>
      </c>
      <c r="G74" s="411">
        <f t="shared" si="8"/>
        <v>0</v>
      </c>
      <c r="H74" s="411">
        <f t="shared" si="8"/>
        <v>0</v>
      </c>
      <c r="I74" s="412">
        <f t="shared" si="8"/>
        <v>0</v>
      </c>
      <c r="J74" s="411">
        <f t="shared" si="8"/>
        <v>0</v>
      </c>
      <c r="K74" s="308">
        <f t="shared" si="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94800</v>
      </c>
      <c r="I77" s="115">
        <v>0</v>
      </c>
      <c r="J77" s="307">
        <v>10000</v>
      </c>
      <c r="K77" s="308">
        <f>(H77+I77)-J77</f>
        <v>84800</v>
      </c>
    </row>
    <row r="78" spans="1:11" ht="18" customHeight="1" x14ac:dyDescent="0.4">
      <c r="A78" s="1" t="s">
        <v>108</v>
      </c>
      <c r="B78" s="94" t="s">
        <v>55</v>
      </c>
      <c r="F78" s="311">
        <v>125</v>
      </c>
      <c r="G78" s="311">
        <v>143</v>
      </c>
      <c r="H78" s="352">
        <v>23039</v>
      </c>
      <c r="I78" s="116">
        <v>15667</v>
      </c>
      <c r="J78" s="352">
        <v>26000</v>
      </c>
      <c r="K78" s="353">
        <f>(H78+I78)-J78</f>
        <v>12706</v>
      </c>
    </row>
    <row r="79" spans="1:11" ht="18" customHeight="1" x14ac:dyDescent="0.4">
      <c r="A79" s="1" t="s">
        <v>109</v>
      </c>
      <c r="B79" s="94" t="s">
        <v>13</v>
      </c>
      <c r="F79" s="306">
        <v>15</v>
      </c>
      <c r="G79" s="306">
        <v>85</v>
      </c>
      <c r="H79" s="307">
        <v>6622</v>
      </c>
      <c r="I79" s="115">
        <v>0</v>
      </c>
      <c r="J79" s="307">
        <v>0</v>
      </c>
      <c r="K79" s="308">
        <f>(H79+I79)-J79</f>
        <v>6622</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9">SUM(F77:F80)</f>
        <v>140</v>
      </c>
      <c r="G82" s="411">
        <f t="shared" si="9"/>
        <v>228</v>
      </c>
      <c r="H82" s="308">
        <f t="shared" si="9"/>
        <v>124461</v>
      </c>
      <c r="I82" s="308">
        <f t="shared" si="9"/>
        <v>15667</v>
      </c>
      <c r="J82" s="308">
        <f t="shared" si="9"/>
        <v>36000</v>
      </c>
      <c r="K82" s="308">
        <f t="shared" si="9"/>
        <v>104128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0">H86*F$114</f>
        <v>0</v>
      </c>
      <c r="J86" s="307"/>
      <c r="K86" s="308">
        <f t="shared" ref="K86:K96" si="11">(H86+I86)-J86</f>
        <v>0</v>
      </c>
    </row>
    <row r="87" spans="1:11" ht="18" customHeight="1" x14ac:dyDescent="0.4">
      <c r="A87" s="1" t="s">
        <v>114</v>
      </c>
      <c r="B87" s="94" t="s">
        <v>14</v>
      </c>
      <c r="F87" s="306"/>
      <c r="G87" s="306"/>
      <c r="H87" s="307"/>
      <c r="I87" s="115">
        <f t="shared" si="10"/>
        <v>0</v>
      </c>
      <c r="J87" s="307"/>
      <c r="K87" s="308">
        <f t="shared" si="11"/>
        <v>0</v>
      </c>
    </row>
    <row r="88" spans="1:11" ht="18" customHeight="1" x14ac:dyDescent="0.4">
      <c r="A88" s="1" t="s">
        <v>115</v>
      </c>
      <c r="B88" s="94" t="s">
        <v>116</v>
      </c>
      <c r="F88" s="306"/>
      <c r="G88" s="306"/>
      <c r="H88" s="307">
        <v>6759</v>
      </c>
      <c r="I88" s="115">
        <f t="shared" si="10"/>
        <v>4574.4911999999995</v>
      </c>
      <c r="J88" s="307">
        <v>0</v>
      </c>
      <c r="K88" s="308">
        <f t="shared" si="11"/>
        <v>11333.4912</v>
      </c>
    </row>
    <row r="89" spans="1:11" ht="18" customHeight="1" x14ac:dyDescent="0.4">
      <c r="A89" s="1" t="s">
        <v>117</v>
      </c>
      <c r="B89" s="94" t="s">
        <v>58</v>
      </c>
      <c r="F89" s="306"/>
      <c r="G89" s="306"/>
      <c r="H89" s="307"/>
      <c r="I89" s="115">
        <f t="shared" si="10"/>
        <v>0</v>
      </c>
      <c r="J89" s="307"/>
      <c r="K89" s="308">
        <f t="shared" si="11"/>
        <v>0</v>
      </c>
    </row>
    <row r="90" spans="1:11" ht="18" customHeight="1" x14ac:dyDescent="0.4">
      <c r="A90" s="1" t="s">
        <v>118</v>
      </c>
      <c r="B90" s="635" t="s">
        <v>59</v>
      </c>
      <c r="C90" s="636"/>
      <c r="F90" s="306">
        <v>395</v>
      </c>
      <c r="G90" s="306"/>
      <c r="H90" s="307">
        <v>46773</v>
      </c>
      <c r="I90" s="115">
        <f t="shared" si="10"/>
        <v>31655.966399999998</v>
      </c>
      <c r="J90" s="307">
        <v>25000</v>
      </c>
      <c r="K90" s="308">
        <f t="shared" si="11"/>
        <v>53428.966400000005</v>
      </c>
    </row>
    <row r="91" spans="1:11" ht="18" customHeight="1" x14ac:dyDescent="0.4">
      <c r="A91" s="1" t="s">
        <v>119</v>
      </c>
      <c r="B91" s="94" t="s">
        <v>60</v>
      </c>
      <c r="F91" s="306"/>
      <c r="G91" s="306"/>
      <c r="H91" s="307"/>
      <c r="I91" s="115">
        <f t="shared" si="10"/>
        <v>0</v>
      </c>
      <c r="J91" s="307"/>
      <c r="K91" s="308">
        <f t="shared" si="11"/>
        <v>0</v>
      </c>
    </row>
    <row r="92" spans="1:11" ht="18" customHeight="1" x14ac:dyDescent="0.4">
      <c r="A92" s="1" t="s">
        <v>120</v>
      </c>
      <c r="B92" s="94" t="s">
        <v>121</v>
      </c>
      <c r="F92" s="107"/>
      <c r="G92" s="107"/>
      <c r="H92" s="108"/>
      <c r="I92" s="115">
        <f t="shared" si="10"/>
        <v>0</v>
      </c>
      <c r="J92" s="108"/>
      <c r="K92" s="308">
        <f t="shared" si="11"/>
        <v>0</v>
      </c>
    </row>
    <row r="93" spans="1:11" ht="18" customHeight="1" x14ac:dyDescent="0.4">
      <c r="A93" s="1" t="s">
        <v>122</v>
      </c>
      <c r="B93" s="94" t="s">
        <v>123</v>
      </c>
      <c r="F93" s="306"/>
      <c r="G93" s="306"/>
      <c r="H93" s="307">
        <v>98492</v>
      </c>
      <c r="I93" s="115">
        <f t="shared" si="10"/>
        <v>66659.385599999994</v>
      </c>
      <c r="J93" s="307">
        <v>0</v>
      </c>
      <c r="K93" s="308">
        <f t="shared" si="11"/>
        <v>165151.38559999998</v>
      </c>
    </row>
    <row r="94" spans="1:11" ht="18" customHeight="1" x14ac:dyDescent="0.4">
      <c r="A94" s="1" t="s">
        <v>124</v>
      </c>
      <c r="B94" s="655"/>
      <c r="C94" s="653"/>
      <c r="D94" s="654"/>
      <c r="F94" s="306"/>
      <c r="G94" s="306"/>
      <c r="H94" s="307"/>
      <c r="I94" s="115">
        <f t="shared" si="10"/>
        <v>0</v>
      </c>
      <c r="J94" s="307"/>
      <c r="K94" s="308">
        <f t="shared" si="11"/>
        <v>0</v>
      </c>
    </row>
    <row r="95" spans="1:11" ht="18" customHeight="1" x14ac:dyDescent="0.4">
      <c r="A95" s="1" t="s">
        <v>125</v>
      </c>
      <c r="B95" s="655"/>
      <c r="C95" s="653"/>
      <c r="D95" s="654"/>
      <c r="F95" s="306"/>
      <c r="G95" s="306"/>
      <c r="H95" s="307"/>
      <c r="I95" s="115">
        <f t="shared" si="10"/>
        <v>0</v>
      </c>
      <c r="J95" s="307"/>
      <c r="K95" s="308">
        <f t="shared" si="11"/>
        <v>0</v>
      </c>
    </row>
    <row r="96" spans="1:11" ht="18" customHeight="1" x14ac:dyDescent="0.4">
      <c r="A96" s="1" t="s">
        <v>126</v>
      </c>
      <c r="B96" s="655"/>
      <c r="C96" s="653"/>
      <c r="D96" s="654"/>
      <c r="F96" s="306"/>
      <c r="G96" s="306"/>
      <c r="H96" s="307"/>
      <c r="I96" s="115">
        <f t="shared" si="10"/>
        <v>0</v>
      </c>
      <c r="J96" s="307"/>
      <c r="K96" s="308">
        <f t="shared" si="11"/>
        <v>0</v>
      </c>
    </row>
    <row r="97" spans="1:11" ht="18" customHeight="1" x14ac:dyDescent="0.4">
      <c r="A97" s="1"/>
      <c r="B97" s="94"/>
    </row>
    <row r="98" spans="1:11" ht="18" customHeight="1" x14ac:dyDescent="0.4">
      <c r="A98" s="98" t="s">
        <v>150</v>
      </c>
      <c r="B98" s="95" t="s">
        <v>151</v>
      </c>
      <c r="E98" s="95" t="s">
        <v>7</v>
      </c>
      <c r="F98" s="310">
        <f t="shared" ref="F98:K98" si="12">SUM(F86:F96)</f>
        <v>395</v>
      </c>
      <c r="G98" s="310">
        <f t="shared" si="12"/>
        <v>0</v>
      </c>
      <c r="H98" s="310">
        <f t="shared" si="12"/>
        <v>152024</v>
      </c>
      <c r="I98" s="351">
        <f t="shared" si="12"/>
        <v>102889.84319999999</v>
      </c>
      <c r="J98" s="351">
        <f t="shared" si="12"/>
        <v>25000</v>
      </c>
      <c r="K98" s="351">
        <f t="shared" si="12"/>
        <v>229913.8432</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11">
        <v>1248</v>
      </c>
      <c r="G102" s="306"/>
      <c r="H102" s="307">
        <v>61160</v>
      </c>
      <c r="I102" s="115">
        <f>H102*F$114</f>
        <v>41393.087999999996</v>
      </c>
      <c r="J102" s="307">
        <v>0</v>
      </c>
      <c r="K102" s="308">
        <f>(H102+I102)-J102</f>
        <v>102553.08799999999</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794" t="s">
        <v>778</v>
      </c>
      <c r="C104" s="795"/>
      <c r="D104" s="796"/>
      <c r="F104" s="311">
        <v>1</v>
      </c>
      <c r="G104" s="311"/>
      <c r="H104" s="352">
        <v>834</v>
      </c>
      <c r="I104" s="116">
        <f>H104*F$114</f>
        <v>564.45119999999997</v>
      </c>
      <c r="J104" s="352">
        <v>0</v>
      </c>
      <c r="K104" s="353">
        <f>(H104+I104)-J104</f>
        <v>1398.4512</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3">SUM(F102:F106)</f>
        <v>1249</v>
      </c>
      <c r="G108" s="310">
        <f t="shared" si="13"/>
        <v>0</v>
      </c>
      <c r="H108" s="308">
        <f t="shared" si="13"/>
        <v>61994</v>
      </c>
      <c r="I108" s="308">
        <f t="shared" si="13"/>
        <v>41957.539199999999</v>
      </c>
      <c r="J108" s="308">
        <f t="shared" si="13"/>
        <v>0</v>
      </c>
      <c r="K108" s="308">
        <f t="shared" si="13"/>
        <v>103951.53919999998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1088211.9999999998</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0.67679999999999996</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129959796.97000003</v>
      </c>
    </row>
    <row r="118" spans="1:6" ht="18" customHeight="1" x14ac:dyDescent="0.4">
      <c r="A118" s="1" t="s">
        <v>173</v>
      </c>
      <c r="B118" t="s">
        <v>18</v>
      </c>
      <c r="F118" s="307">
        <v>8608606.5600000005</v>
      </c>
    </row>
    <row r="119" spans="1:6" ht="18" customHeight="1" x14ac:dyDescent="0.4">
      <c r="A119" s="1" t="s">
        <v>174</v>
      </c>
      <c r="B119" s="95" t="s">
        <v>19</v>
      </c>
      <c r="F119" s="308">
        <f>SUM(F117:F118)</f>
        <v>138568403.53000003</v>
      </c>
    </row>
    <row r="120" spans="1:6" ht="18" customHeight="1" x14ac:dyDescent="0.4">
      <c r="A120" s="1"/>
      <c r="B120" s="95"/>
    </row>
    <row r="121" spans="1:6" ht="18" customHeight="1" x14ac:dyDescent="0.4">
      <c r="A121" s="1" t="s">
        <v>167</v>
      </c>
      <c r="B121" s="95" t="s">
        <v>36</v>
      </c>
      <c r="F121" s="307">
        <v>133537960</v>
      </c>
    </row>
    <row r="122" spans="1:6" ht="18" customHeight="1" x14ac:dyDescent="0.4">
      <c r="A122" s="1"/>
    </row>
    <row r="123" spans="1:6" ht="18" customHeight="1" x14ac:dyDescent="0.4">
      <c r="A123" s="1" t="s">
        <v>175</v>
      </c>
      <c r="B123" s="95" t="s">
        <v>20</v>
      </c>
      <c r="F123" s="307">
        <f>F119-F121</f>
        <v>5030443.530000031</v>
      </c>
    </row>
    <row r="124" spans="1:6" ht="18" customHeight="1" x14ac:dyDescent="0.4">
      <c r="A124" s="1"/>
    </row>
    <row r="125" spans="1:6" ht="18" customHeight="1" x14ac:dyDescent="0.4">
      <c r="A125" s="1" t="s">
        <v>176</v>
      </c>
      <c r="B125" s="95" t="s">
        <v>21</v>
      </c>
      <c r="F125" s="307">
        <v>-461000</v>
      </c>
    </row>
    <row r="126" spans="1:6" ht="18" customHeight="1" x14ac:dyDescent="0.4">
      <c r="A126" s="1"/>
    </row>
    <row r="127" spans="1:6" ht="18" customHeight="1" x14ac:dyDescent="0.4">
      <c r="A127" s="1" t="s">
        <v>177</v>
      </c>
      <c r="B127" s="95" t="s">
        <v>22</v>
      </c>
      <c r="F127" s="307">
        <f>F123+F125</f>
        <v>4569443.530000031</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4">SUM(F131:F135)</f>
        <v>0</v>
      </c>
      <c r="G137" s="310">
        <f t="shared" si="14"/>
        <v>0</v>
      </c>
      <c r="H137" s="308">
        <f t="shared" si="14"/>
        <v>0</v>
      </c>
      <c r="I137" s="308">
        <f t="shared" si="14"/>
        <v>0</v>
      </c>
      <c r="J137" s="308">
        <f t="shared" si="14"/>
        <v>0</v>
      </c>
      <c r="K137" s="308">
        <f t="shared" si="14"/>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5">F36</f>
        <v>4818.5</v>
      </c>
      <c r="G141" s="109">
        <f t="shared" si="15"/>
        <v>123227</v>
      </c>
      <c r="H141" s="217">
        <f t="shared" si="15"/>
        <v>695947</v>
      </c>
      <c r="I141" s="217">
        <f t="shared" si="15"/>
        <v>471016.92959999997</v>
      </c>
      <c r="J141" s="217">
        <f t="shared" si="15"/>
        <v>310</v>
      </c>
      <c r="K141" s="542">
        <f t="shared" si="15"/>
        <v>1166653.9295999999</v>
      </c>
    </row>
    <row r="142" spans="1:11" ht="18" customHeight="1" x14ac:dyDescent="0.4">
      <c r="A142" s="1" t="s">
        <v>142</v>
      </c>
      <c r="B142" s="95" t="s">
        <v>65</v>
      </c>
      <c r="F142" s="109">
        <f t="shared" ref="F142:K142" si="16">F49</f>
        <v>2464</v>
      </c>
      <c r="G142" s="109">
        <f t="shared" si="16"/>
        <v>0</v>
      </c>
      <c r="H142" s="217">
        <f t="shared" si="16"/>
        <v>82540</v>
      </c>
      <c r="I142" s="217">
        <f t="shared" si="16"/>
        <v>55863.072</v>
      </c>
      <c r="J142" s="217">
        <f t="shared" si="16"/>
        <v>0</v>
      </c>
      <c r="K142" s="542">
        <f t="shared" si="16"/>
        <v>138403.07200000001</v>
      </c>
    </row>
    <row r="143" spans="1:11" ht="18" customHeight="1" x14ac:dyDescent="0.4">
      <c r="A143" s="1" t="s">
        <v>144</v>
      </c>
      <c r="B143" s="95" t="s">
        <v>66</v>
      </c>
      <c r="F143" s="109">
        <f t="shared" ref="F143:K143" si="17">F64</f>
        <v>104</v>
      </c>
      <c r="G143" s="109">
        <f t="shared" si="17"/>
        <v>0</v>
      </c>
      <c r="H143" s="217">
        <f t="shared" si="17"/>
        <v>9483387</v>
      </c>
      <c r="I143" s="217">
        <f t="shared" si="17"/>
        <v>4369</v>
      </c>
      <c r="J143" s="217">
        <f t="shared" si="17"/>
        <v>0</v>
      </c>
      <c r="K143" s="542">
        <f t="shared" si="17"/>
        <v>9487756</v>
      </c>
    </row>
    <row r="144" spans="1:11" ht="18" customHeight="1" x14ac:dyDescent="0.4">
      <c r="A144" s="1" t="s">
        <v>146</v>
      </c>
      <c r="B144" s="95" t="s">
        <v>67</v>
      </c>
      <c r="F144" s="109">
        <f t="shared" ref="F144:K144" si="18">F74</f>
        <v>0</v>
      </c>
      <c r="G144" s="109">
        <f t="shared" si="18"/>
        <v>0</v>
      </c>
      <c r="H144" s="217">
        <f t="shared" si="18"/>
        <v>0</v>
      </c>
      <c r="I144" s="217">
        <f t="shared" si="18"/>
        <v>0</v>
      </c>
      <c r="J144" s="217">
        <f t="shared" si="18"/>
        <v>0</v>
      </c>
      <c r="K144" s="542">
        <f t="shared" si="18"/>
        <v>0</v>
      </c>
    </row>
    <row r="145" spans="1:11" ht="18" customHeight="1" x14ac:dyDescent="0.4">
      <c r="A145" s="1" t="s">
        <v>148</v>
      </c>
      <c r="B145" s="95" t="s">
        <v>68</v>
      </c>
      <c r="F145" s="109">
        <f t="shared" ref="F145:K145" si="19">F82</f>
        <v>140</v>
      </c>
      <c r="G145" s="109">
        <f t="shared" si="19"/>
        <v>228</v>
      </c>
      <c r="H145" s="217">
        <f t="shared" si="19"/>
        <v>124461</v>
      </c>
      <c r="I145" s="217">
        <f t="shared" si="19"/>
        <v>15667</v>
      </c>
      <c r="J145" s="217">
        <f t="shared" si="19"/>
        <v>36000</v>
      </c>
      <c r="K145" s="542">
        <f t="shared" si="19"/>
        <v>104128</v>
      </c>
    </row>
    <row r="146" spans="1:11" ht="18" customHeight="1" x14ac:dyDescent="0.4">
      <c r="A146" s="1" t="s">
        <v>150</v>
      </c>
      <c r="B146" s="95" t="s">
        <v>69</v>
      </c>
      <c r="F146" s="109">
        <f t="shared" ref="F146:K146" si="20">F98</f>
        <v>395</v>
      </c>
      <c r="G146" s="109">
        <f t="shared" si="20"/>
        <v>0</v>
      </c>
      <c r="H146" s="217">
        <f t="shared" si="20"/>
        <v>152024</v>
      </c>
      <c r="I146" s="217">
        <f t="shared" si="20"/>
        <v>102889.84319999999</v>
      </c>
      <c r="J146" s="217">
        <f t="shared" si="20"/>
        <v>25000</v>
      </c>
      <c r="K146" s="542">
        <f t="shared" si="20"/>
        <v>229913.8432</v>
      </c>
    </row>
    <row r="147" spans="1:11" ht="18" customHeight="1" x14ac:dyDescent="0.4">
      <c r="A147" s="1" t="s">
        <v>153</v>
      </c>
      <c r="B147" s="95" t="s">
        <v>61</v>
      </c>
      <c r="F147" s="310">
        <f t="shared" ref="F147:K147" si="21">F108</f>
        <v>1249</v>
      </c>
      <c r="G147" s="310">
        <f t="shared" si="21"/>
        <v>0</v>
      </c>
      <c r="H147" s="351">
        <f t="shared" si="21"/>
        <v>61994</v>
      </c>
      <c r="I147" s="351">
        <f t="shared" si="21"/>
        <v>41957.539199999999</v>
      </c>
      <c r="J147" s="351">
        <f t="shared" si="21"/>
        <v>0</v>
      </c>
      <c r="K147" s="316">
        <f t="shared" si="21"/>
        <v>103951.53919999998</v>
      </c>
    </row>
    <row r="148" spans="1:11" ht="18" customHeight="1" x14ac:dyDescent="0.4">
      <c r="A148" s="1" t="s">
        <v>155</v>
      </c>
      <c r="B148" s="95" t="s">
        <v>70</v>
      </c>
      <c r="F148" s="110" t="s">
        <v>73</v>
      </c>
      <c r="G148" s="110" t="s">
        <v>73</v>
      </c>
      <c r="H148" s="111" t="s">
        <v>73</v>
      </c>
      <c r="I148" s="111" t="s">
        <v>73</v>
      </c>
      <c r="J148" s="111" t="s">
        <v>73</v>
      </c>
      <c r="K148" s="542">
        <f>F111</f>
        <v>1088211.9999999998</v>
      </c>
    </row>
    <row r="149" spans="1:11" ht="18" customHeight="1" x14ac:dyDescent="0.4">
      <c r="A149" s="1" t="s">
        <v>163</v>
      </c>
      <c r="B149" s="95" t="s">
        <v>71</v>
      </c>
      <c r="F149" s="310">
        <f t="shared" ref="F149:K149" si="22">F137</f>
        <v>0</v>
      </c>
      <c r="G149" s="310">
        <f t="shared" si="22"/>
        <v>0</v>
      </c>
      <c r="H149" s="351">
        <f t="shared" si="22"/>
        <v>0</v>
      </c>
      <c r="I149" s="351">
        <f t="shared" si="22"/>
        <v>0</v>
      </c>
      <c r="J149" s="316">
        <f t="shared" si="22"/>
        <v>0</v>
      </c>
      <c r="K149" s="316">
        <f t="shared" si="22"/>
        <v>0</v>
      </c>
    </row>
    <row r="150" spans="1:11" ht="18" customHeight="1" x14ac:dyDescent="0.4">
      <c r="A150" s="1" t="s">
        <v>185</v>
      </c>
      <c r="B150" s="95" t="s">
        <v>186</v>
      </c>
      <c r="F150" s="110" t="s">
        <v>73</v>
      </c>
      <c r="G150" s="110" t="s">
        <v>73</v>
      </c>
      <c r="H150" s="351">
        <f>H18</f>
        <v>2896800.58</v>
      </c>
      <c r="I150" s="351">
        <f>I18</f>
        <v>0</v>
      </c>
      <c r="J150" s="316">
        <f>J18</f>
        <v>2400781.86</v>
      </c>
      <c r="K150" s="316">
        <f>K18</f>
        <v>496018.7200000002</v>
      </c>
    </row>
    <row r="151" spans="1:11" ht="18" customHeight="1" x14ac:dyDescent="0.4">
      <c r="B151" s="95"/>
      <c r="F151" s="113"/>
      <c r="G151" s="113"/>
      <c r="H151" s="113"/>
      <c r="I151" s="113"/>
      <c r="J151" s="543"/>
      <c r="K151" s="113"/>
    </row>
    <row r="152" spans="1:11" ht="18" customHeight="1" x14ac:dyDescent="0.4">
      <c r="A152" s="98" t="s">
        <v>165</v>
      </c>
      <c r="B152" s="95" t="s">
        <v>26</v>
      </c>
      <c r="F152" s="114">
        <f t="shared" ref="F152:K152" si="23">SUM(F141:F150)</f>
        <v>9170.5</v>
      </c>
      <c r="G152" s="114">
        <f t="shared" si="23"/>
        <v>123455</v>
      </c>
      <c r="H152" s="427">
        <f t="shared" si="23"/>
        <v>13497153.58</v>
      </c>
      <c r="I152" s="427">
        <f t="shared" si="23"/>
        <v>691763.38399999996</v>
      </c>
      <c r="J152" s="427">
        <f t="shared" si="23"/>
        <v>2462091.86</v>
      </c>
      <c r="K152" s="427">
        <f t="shared" si="23"/>
        <v>12815037.104</v>
      </c>
    </row>
    <row r="154" spans="1:11" ht="18" customHeight="1" x14ac:dyDescent="0.4">
      <c r="A154" s="98" t="s">
        <v>168</v>
      </c>
      <c r="B154" s="95" t="s">
        <v>28</v>
      </c>
      <c r="F154" s="318">
        <f>K152/F121</f>
        <v>9.5965500027108394E-2</v>
      </c>
    </row>
    <row r="155" spans="1:11" ht="18" customHeight="1" x14ac:dyDescent="0.4">
      <c r="A155" s="98" t="s">
        <v>169</v>
      </c>
      <c r="B155" s="95" t="s">
        <v>72</v>
      </c>
      <c r="F155" s="318">
        <f>K152/F127</f>
        <v>2.8045071615098642</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6:D56"/>
    <mergeCell ref="B59:D59"/>
    <mergeCell ref="B53:D53"/>
    <mergeCell ref="B55:D55"/>
    <mergeCell ref="B46:D46"/>
    <mergeCell ref="B47:D47"/>
  </mergeCells>
  <hyperlinks>
    <hyperlink ref="C11" r:id="rId1" xr:uid="{13B6665A-BC6C-4C73-94C9-C6AEC138B043}"/>
  </hyperlinks>
  <printOptions headings="1" gridLines="1"/>
  <pageMargins left="0.25" right="0.25" top="1.25" bottom="0.75" header="0.3" footer="0.3"/>
  <pageSetup scale="59" fitToHeight="3" orientation="landscape" horizontalDpi="4294967294" r:id="rId2"/>
  <headerFooter alignWithMargins="0">
    <oddHeader>&amp;R&amp;"Arial,Bold Italic"&amp;16FINAL DRAFT</oddHeader>
  </headerFooter>
  <rowBreaks count="4" manualBreakCount="4">
    <brk id="37" max="16383" man="1"/>
    <brk id="74" max="16383" man="1"/>
    <brk id="109" max="16383" man="1"/>
    <brk id="138"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pageSetUpPr fitToPage="1"/>
  </sheetPr>
  <dimension ref="A1:K156"/>
  <sheetViews>
    <sheetView topLeftCell="A130" zoomScale="80" zoomScaleNormal="80" workbookViewId="0">
      <selection activeCell="G83" sqref="G83"/>
    </sheetView>
  </sheetViews>
  <sheetFormatPr defaultColWidth="8.71875" defaultRowHeight="18" customHeight="1" x14ac:dyDescent="0.4"/>
  <cols>
    <col min="1" max="1" width="8.44140625" style="93" customWidth="1"/>
    <col min="2" max="2" width="55.44140625" bestFit="1" customWidth="1"/>
    <col min="3" max="3" width="9.5546875" customWidth="1"/>
    <col min="5" max="5" width="12.44140625" customWidth="1"/>
    <col min="6" max="6" width="18.5546875" customWidth="1"/>
    <col min="7" max="7" width="23.5546875" customWidth="1"/>
    <col min="8" max="8" width="17.44140625" customWidth="1"/>
    <col min="9" max="9" width="21.44140625" customWidth="1"/>
    <col min="10" max="10" width="19.5546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779</v>
      </c>
      <c r="D5" s="666"/>
      <c r="E5" s="666"/>
      <c r="F5" s="666"/>
      <c r="G5" s="667"/>
    </row>
    <row r="6" spans="1:11" ht="18" customHeight="1" x14ac:dyDescent="0.4">
      <c r="B6" s="1" t="s">
        <v>3</v>
      </c>
      <c r="C6" s="683">
        <v>210037</v>
      </c>
      <c r="D6" s="684"/>
      <c r="E6" s="684"/>
      <c r="F6" s="684"/>
      <c r="G6" s="685"/>
    </row>
    <row r="7" spans="1:11" ht="18" customHeight="1" x14ac:dyDescent="0.4">
      <c r="B7" s="1" t="s">
        <v>4</v>
      </c>
      <c r="C7" s="689">
        <v>1316</v>
      </c>
      <c r="D7" s="690"/>
      <c r="E7" s="690"/>
      <c r="F7" s="690"/>
      <c r="G7" s="691"/>
    </row>
    <row r="9" spans="1:11" ht="18" customHeight="1" x14ac:dyDescent="0.4">
      <c r="B9" s="1" t="s">
        <v>1</v>
      </c>
      <c r="C9" s="663" t="s">
        <v>442</v>
      </c>
      <c r="D9" s="666"/>
      <c r="E9" s="666"/>
      <c r="F9" s="666"/>
      <c r="G9" s="667"/>
    </row>
    <row r="10" spans="1:11" ht="18" customHeight="1" x14ac:dyDescent="0.4">
      <c r="B10" s="1" t="s">
        <v>2</v>
      </c>
      <c r="C10" s="733" t="s">
        <v>682</v>
      </c>
      <c r="D10" s="661"/>
      <c r="E10" s="661"/>
      <c r="F10" s="661"/>
      <c r="G10" s="662"/>
    </row>
    <row r="11" spans="1:11" ht="18" customHeight="1" x14ac:dyDescent="0.4">
      <c r="B11" s="1" t="s">
        <v>32</v>
      </c>
      <c r="C11" s="663" t="s">
        <v>476</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4275043.1100000003</v>
      </c>
      <c r="I18" s="115">
        <v>0</v>
      </c>
      <c r="J18" s="307">
        <v>3543028.13</v>
      </c>
      <c r="K18" s="308">
        <f>(H18+I18)-J18</f>
        <v>732014.98000000045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3470</v>
      </c>
      <c r="G21" s="306">
        <v>3696</v>
      </c>
      <c r="H21" s="307">
        <v>185190.7751659776</v>
      </c>
      <c r="I21" s="115">
        <v>24065.095689414218</v>
      </c>
      <c r="J21" s="307">
        <v>0</v>
      </c>
      <c r="K21" s="308">
        <f t="shared" ref="K21:K34" si="0">(H21+I21)-J21</f>
        <v>209255.87085539181</v>
      </c>
    </row>
    <row r="22" spans="1:11" ht="18" customHeight="1" x14ac:dyDescent="0.4">
      <c r="A22" s="1" t="s">
        <v>76</v>
      </c>
      <c r="B22" t="s">
        <v>6</v>
      </c>
      <c r="F22" s="306">
        <v>84</v>
      </c>
      <c r="G22" s="306">
        <v>130</v>
      </c>
      <c r="H22" s="307">
        <v>3345.3187648248177</v>
      </c>
      <c r="I22" s="115">
        <v>0</v>
      </c>
      <c r="J22" s="307"/>
      <c r="K22" s="308">
        <f t="shared" si="0"/>
        <v>3345.3187648248177</v>
      </c>
    </row>
    <row r="23" spans="1:11" ht="18" customHeight="1" x14ac:dyDescent="0.4">
      <c r="A23" s="1" t="s">
        <v>77</v>
      </c>
      <c r="B23" t="s">
        <v>43</v>
      </c>
      <c r="F23" s="306">
        <v>516</v>
      </c>
      <c r="G23" s="306">
        <v>361</v>
      </c>
      <c r="H23" s="307">
        <v>32187</v>
      </c>
      <c r="I23" s="115">
        <v>628.28936609931952</v>
      </c>
      <c r="J23" s="307">
        <v>0</v>
      </c>
      <c r="K23" s="308">
        <f t="shared" si="0"/>
        <v>32815.289366099321</v>
      </c>
    </row>
    <row r="24" spans="1:11" ht="18" customHeight="1" x14ac:dyDescent="0.4">
      <c r="A24" s="1" t="s">
        <v>78</v>
      </c>
      <c r="B24" t="s">
        <v>44</v>
      </c>
      <c r="F24" s="306"/>
      <c r="G24" s="306"/>
      <c r="H24" s="307"/>
      <c r="I24" s="115"/>
      <c r="J24" s="307"/>
      <c r="K24" s="308">
        <f t="shared" si="0"/>
        <v>0</v>
      </c>
    </row>
    <row r="25" spans="1:11" ht="18" customHeight="1" x14ac:dyDescent="0.4">
      <c r="A25" s="1" t="s">
        <v>79</v>
      </c>
      <c r="B25" t="s">
        <v>5</v>
      </c>
      <c r="F25" s="306">
        <v>60</v>
      </c>
      <c r="G25" s="306">
        <v>53</v>
      </c>
      <c r="H25" s="307">
        <v>2757.513403446299</v>
      </c>
      <c r="I25" s="115">
        <v>188.4356045024854</v>
      </c>
      <c r="J25" s="307">
        <v>0</v>
      </c>
      <c r="K25" s="308">
        <f t="shared" si="0"/>
        <v>2945.9490079487846</v>
      </c>
    </row>
    <row r="26" spans="1:11" ht="18" customHeight="1" x14ac:dyDescent="0.4">
      <c r="A26" s="1" t="s">
        <v>80</v>
      </c>
      <c r="B26" t="s">
        <v>45</v>
      </c>
      <c r="F26" s="306"/>
      <c r="G26" s="306"/>
      <c r="H26" s="307"/>
      <c r="I26" s="115"/>
      <c r="J26" s="307"/>
      <c r="K26" s="308">
        <f t="shared" si="0"/>
        <v>0</v>
      </c>
    </row>
    <row r="27" spans="1:11" ht="18" customHeight="1" x14ac:dyDescent="0.4">
      <c r="A27" s="1" t="s">
        <v>81</v>
      </c>
      <c r="B27" t="s">
        <v>455</v>
      </c>
      <c r="F27" s="306"/>
      <c r="G27" s="306"/>
      <c r="H27" s="307"/>
      <c r="I27" s="115"/>
      <c r="J27" s="307"/>
      <c r="K27" s="308">
        <f t="shared" si="0"/>
        <v>0</v>
      </c>
    </row>
    <row r="28" spans="1:11" ht="18" customHeight="1" x14ac:dyDescent="0.4">
      <c r="A28" s="1" t="s">
        <v>82</v>
      </c>
      <c r="B28" t="s">
        <v>47</v>
      </c>
      <c r="F28" s="306"/>
      <c r="G28" s="306"/>
      <c r="H28" s="307"/>
      <c r="I28" s="115"/>
      <c r="J28" s="307"/>
      <c r="K28" s="308">
        <f t="shared" si="0"/>
        <v>0</v>
      </c>
    </row>
    <row r="29" spans="1:11" ht="18" customHeight="1" x14ac:dyDescent="0.4">
      <c r="A29" s="1" t="s">
        <v>83</v>
      </c>
      <c r="B29" t="s">
        <v>48</v>
      </c>
      <c r="F29" s="306">
        <v>1515</v>
      </c>
      <c r="G29" s="306">
        <v>1932</v>
      </c>
      <c r="H29" s="307">
        <v>470534.51238532458</v>
      </c>
      <c r="I29" s="115">
        <v>24241.626055317021</v>
      </c>
      <c r="J29" s="307">
        <v>0</v>
      </c>
      <c r="K29" s="308">
        <f t="shared" si="0"/>
        <v>494776.13844064157</v>
      </c>
    </row>
    <row r="30" spans="1:11" ht="18" customHeight="1" x14ac:dyDescent="0.4">
      <c r="A30" s="1" t="s">
        <v>84</v>
      </c>
      <c r="B30" s="630"/>
      <c r="C30" s="631"/>
      <c r="D30" s="632"/>
      <c r="F30" s="306"/>
      <c r="G30" s="306"/>
      <c r="H30" s="307"/>
      <c r="I30" s="115"/>
      <c r="J30" s="307"/>
      <c r="K30" s="308">
        <f t="shared" si="0"/>
        <v>0</v>
      </c>
    </row>
    <row r="31" spans="1:11" ht="18" customHeight="1" x14ac:dyDescent="0.4">
      <c r="A31" s="1" t="s">
        <v>133</v>
      </c>
      <c r="B31" s="630"/>
      <c r="C31" s="631"/>
      <c r="D31" s="632"/>
      <c r="F31" s="306"/>
      <c r="G31" s="306"/>
      <c r="H31" s="307"/>
      <c r="I31" s="115"/>
      <c r="J31" s="307"/>
      <c r="K31" s="308">
        <f t="shared" si="0"/>
        <v>0</v>
      </c>
    </row>
    <row r="32" spans="1:11" ht="18" customHeight="1" x14ac:dyDescent="0.4">
      <c r="A32" s="1" t="s">
        <v>134</v>
      </c>
      <c r="B32" s="544" t="s">
        <v>780</v>
      </c>
      <c r="C32" s="395"/>
      <c r="D32" s="396"/>
      <c r="F32" s="306"/>
      <c r="G32" s="309" t="s">
        <v>85</v>
      </c>
      <c r="H32" s="307">
        <v>3933214.6768769049</v>
      </c>
      <c r="I32" s="115">
        <v>0</v>
      </c>
      <c r="J32" s="307">
        <v>3216255.8264342435</v>
      </c>
      <c r="K32" s="308">
        <f t="shared" si="0"/>
        <v>716958.85044266144</v>
      </c>
    </row>
    <row r="33" spans="1:11" ht="18" customHeight="1" x14ac:dyDescent="0.4">
      <c r="A33" s="1" t="s">
        <v>135</v>
      </c>
      <c r="B33" s="394"/>
      <c r="C33" s="395"/>
      <c r="D33" s="396"/>
      <c r="F33" s="306"/>
      <c r="G33" s="309" t="s">
        <v>85</v>
      </c>
      <c r="H33" s="307"/>
      <c r="I33" s="115"/>
      <c r="J33" s="307"/>
      <c r="K33" s="308">
        <f t="shared" si="0"/>
        <v>0</v>
      </c>
    </row>
    <row r="34" spans="1:11" ht="18" customHeight="1" x14ac:dyDescent="0.4">
      <c r="A34" s="1" t="s">
        <v>136</v>
      </c>
      <c r="B34" s="630"/>
      <c r="C34" s="631"/>
      <c r="D34" s="632"/>
      <c r="F34" s="306"/>
      <c r="G34" s="309" t="s">
        <v>85</v>
      </c>
      <c r="H34" s="307"/>
      <c r="I34" s="115"/>
      <c r="J34" s="307"/>
      <c r="K34" s="308">
        <f t="shared" si="0"/>
        <v>0</v>
      </c>
    </row>
    <row r="35" spans="1:11" ht="18" customHeight="1" x14ac:dyDescent="0.4">
      <c r="K35" s="397"/>
    </row>
    <row r="36" spans="1:11" ht="18" customHeight="1" x14ac:dyDescent="0.4">
      <c r="A36" s="98" t="s">
        <v>137</v>
      </c>
      <c r="B36" s="95" t="s">
        <v>138</v>
      </c>
      <c r="E36" s="95" t="s">
        <v>7</v>
      </c>
      <c r="F36" s="310">
        <f t="shared" ref="F36:K36" si="1">SUM(F21:F34)</f>
        <v>5645</v>
      </c>
      <c r="G36" s="310">
        <f t="shared" si="1"/>
        <v>6172</v>
      </c>
      <c r="H36" s="310">
        <f t="shared" si="1"/>
        <v>4627229.7965964787</v>
      </c>
      <c r="I36" s="308">
        <f t="shared" si="1"/>
        <v>49123.446715333048</v>
      </c>
      <c r="J36" s="308">
        <f t="shared" si="1"/>
        <v>3216255.8264342435</v>
      </c>
      <c r="K36" s="308">
        <f t="shared" si="1"/>
        <v>1460097.4168775678</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2">(H40+I40)-J40</f>
        <v>0</v>
      </c>
    </row>
    <row r="41" spans="1:11" ht="18" customHeight="1" x14ac:dyDescent="0.4">
      <c r="A41" s="1" t="s">
        <v>88</v>
      </c>
      <c r="B41" s="635" t="s">
        <v>50</v>
      </c>
      <c r="C41" s="636"/>
      <c r="F41" s="306"/>
      <c r="G41" s="306"/>
      <c r="H41" s="307"/>
      <c r="I41" s="115">
        <v>0</v>
      </c>
      <c r="J41" s="307"/>
      <c r="K41" s="308">
        <f t="shared" si="2"/>
        <v>0</v>
      </c>
    </row>
    <row r="42" spans="1:11" ht="18" customHeight="1" x14ac:dyDescent="0.4">
      <c r="A42" s="1" t="s">
        <v>89</v>
      </c>
      <c r="B42" s="94" t="s">
        <v>11</v>
      </c>
      <c r="F42" s="306">
        <v>1200</v>
      </c>
      <c r="G42" s="306">
        <v>12</v>
      </c>
      <c r="H42" s="307">
        <v>47790.268068925972</v>
      </c>
      <c r="I42" s="115">
        <v>0</v>
      </c>
      <c r="J42" s="307">
        <v>0</v>
      </c>
      <c r="K42" s="308">
        <f t="shared" si="2"/>
        <v>47790.268068925972</v>
      </c>
    </row>
    <row r="43" spans="1:11" ht="18" customHeight="1" x14ac:dyDescent="0.4">
      <c r="A43" s="1" t="s">
        <v>90</v>
      </c>
      <c r="B43" s="94" t="s">
        <v>10</v>
      </c>
      <c r="F43" s="306"/>
      <c r="G43" s="306"/>
      <c r="H43" s="307"/>
      <c r="I43" s="115">
        <v>0</v>
      </c>
      <c r="J43" s="307"/>
      <c r="K43" s="308">
        <f t="shared" si="2"/>
        <v>0</v>
      </c>
    </row>
    <row r="44" spans="1:11" ht="18" customHeight="1" x14ac:dyDescent="0.4">
      <c r="A44" s="1" t="s">
        <v>91</v>
      </c>
      <c r="B44" s="630"/>
      <c r="C44" s="631"/>
      <c r="D44" s="632"/>
      <c r="F44" s="311"/>
      <c r="G44" s="311"/>
      <c r="H44" s="311"/>
      <c r="I44" s="116">
        <v>0</v>
      </c>
      <c r="J44" s="311"/>
      <c r="K44" s="353">
        <f t="shared" si="2"/>
        <v>0</v>
      </c>
    </row>
    <row r="45" spans="1:11" ht="18" customHeight="1" x14ac:dyDescent="0.4">
      <c r="A45" s="1" t="s">
        <v>139</v>
      </c>
      <c r="B45" s="630"/>
      <c r="C45" s="631"/>
      <c r="D45" s="632"/>
      <c r="F45" s="306"/>
      <c r="G45" s="306"/>
      <c r="H45" s="307"/>
      <c r="I45" s="115">
        <v>0</v>
      </c>
      <c r="J45" s="307"/>
      <c r="K45" s="308">
        <f t="shared" si="2"/>
        <v>0</v>
      </c>
    </row>
    <row r="46" spans="1:11" ht="18" customHeight="1" x14ac:dyDescent="0.4">
      <c r="A46" s="1" t="s">
        <v>140</v>
      </c>
      <c r="B46" s="630"/>
      <c r="C46" s="631"/>
      <c r="D46" s="632"/>
      <c r="F46" s="306"/>
      <c r="G46" s="306"/>
      <c r="H46" s="307"/>
      <c r="I46" s="115">
        <v>0</v>
      </c>
      <c r="J46" s="307"/>
      <c r="K46" s="308">
        <f t="shared" si="2"/>
        <v>0</v>
      </c>
    </row>
    <row r="47" spans="1:11" ht="18" customHeight="1" x14ac:dyDescent="0.4">
      <c r="A47" s="1" t="s">
        <v>141</v>
      </c>
      <c r="B47" s="630"/>
      <c r="C47" s="631"/>
      <c r="D47" s="632"/>
      <c r="F47" s="306"/>
      <c r="G47" s="306"/>
      <c r="H47" s="307"/>
      <c r="I47" s="115">
        <v>0</v>
      </c>
      <c r="J47" s="307"/>
      <c r="K47" s="308">
        <f t="shared" si="2"/>
        <v>0</v>
      </c>
    </row>
    <row r="49" spans="1:11" ht="18" customHeight="1" x14ac:dyDescent="0.4">
      <c r="A49" s="98" t="s">
        <v>142</v>
      </c>
      <c r="B49" s="95" t="s">
        <v>143</v>
      </c>
      <c r="E49" s="95" t="s">
        <v>7</v>
      </c>
      <c r="F49" s="312">
        <f t="shared" ref="F49:K49" si="3">SUM(F40:F47)</f>
        <v>1200</v>
      </c>
      <c r="G49" s="312">
        <f t="shared" si="3"/>
        <v>12</v>
      </c>
      <c r="H49" s="308">
        <f t="shared" si="3"/>
        <v>47790.268068925972</v>
      </c>
      <c r="I49" s="308">
        <f t="shared" si="3"/>
        <v>0</v>
      </c>
      <c r="J49" s="308">
        <f t="shared" si="3"/>
        <v>0</v>
      </c>
      <c r="K49" s="308">
        <f t="shared" si="3"/>
        <v>47790.268068925972</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5" t="s">
        <v>683</v>
      </c>
      <c r="C53" s="653"/>
      <c r="D53" s="654"/>
      <c r="F53" s="306"/>
      <c r="G53" s="306"/>
      <c r="H53" s="307">
        <v>2328086</v>
      </c>
      <c r="I53" s="115">
        <v>0</v>
      </c>
      <c r="J53" s="307">
        <v>0</v>
      </c>
      <c r="K53" s="308">
        <f t="shared" ref="K53:K62" si="4">(H53+I53)-J53</f>
        <v>2328086</v>
      </c>
    </row>
    <row r="54" spans="1:11" ht="18" customHeight="1" x14ac:dyDescent="0.45">
      <c r="A54" s="1" t="s">
        <v>93</v>
      </c>
      <c r="B54" s="419" t="s">
        <v>684</v>
      </c>
      <c r="C54" s="401"/>
      <c r="D54" s="402"/>
      <c r="F54" s="306"/>
      <c r="G54" s="306"/>
      <c r="H54" s="307">
        <v>2541471</v>
      </c>
      <c r="I54" s="115">
        <v>0</v>
      </c>
      <c r="J54" s="307">
        <v>0</v>
      </c>
      <c r="K54" s="308">
        <f t="shared" si="4"/>
        <v>2541471</v>
      </c>
    </row>
    <row r="55" spans="1:11" ht="18" customHeight="1" x14ac:dyDescent="0.4">
      <c r="A55" s="1" t="s">
        <v>94</v>
      </c>
      <c r="B55" s="655" t="s">
        <v>685</v>
      </c>
      <c r="C55" s="653"/>
      <c r="D55" s="654"/>
      <c r="F55" s="306"/>
      <c r="G55" s="306"/>
      <c r="H55" s="307">
        <v>1677528</v>
      </c>
      <c r="I55" s="115">
        <v>0</v>
      </c>
      <c r="J55" s="307">
        <v>0</v>
      </c>
      <c r="K55" s="308">
        <f t="shared" si="4"/>
        <v>1677528</v>
      </c>
    </row>
    <row r="56" spans="1:11" ht="18" customHeight="1" x14ac:dyDescent="0.4">
      <c r="A56" s="1" t="s">
        <v>95</v>
      </c>
      <c r="B56" s="655" t="s">
        <v>686</v>
      </c>
      <c r="C56" s="653"/>
      <c r="D56" s="654"/>
      <c r="F56" s="306"/>
      <c r="G56" s="306"/>
      <c r="H56" s="307">
        <v>1543833</v>
      </c>
      <c r="I56" s="115">
        <v>0</v>
      </c>
      <c r="J56" s="307">
        <v>0</v>
      </c>
      <c r="K56" s="308">
        <f t="shared" si="4"/>
        <v>1543833</v>
      </c>
    </row>
    <row r="57" spans="1:11" ht="18" customHeight="1" x14ac:dyDescent="0.4">
      <c r="A57" s="1" t="s">
        <v>96</v>
      </c>
      <c r="B57" s="794" t="s">
        <v>781</v>
      </c>
      <c r="C57" s="795"/>
      <c r="D57" s="796"/>
      <c r="F57" s="311"/>
      <c r="G57" s="311"/>
      <c r="H57" s="352">
        <v>1809850</v>
      </c>
      <c r="I57" s="116">
        <v>0</v>
      </c>
      <c r="J57" s="352">
        <v>0</v>
      </c>
      <c r="K57" s="353">
        <f t="shared" si="4"/>
        <v>1809850</v>
      </c>
    </row>
    <row r="58" spans="1:11" ht="18" customHeight="1" x14ac:dyDescent="0.4">
      <c r="A58" s="1" t="s">
        <v>97</v>
      </c>
      <c r="B58" s="400" t="s">
        <v>687</v>
      </c>
      <c r="C58" s="401"/>
      <c r="D58" s="402"/>
      <c r="F58" s="306"/>
      <c r="G58" s="306"/>
      <c r="H58" s="307">
        <v>2210941.9799999995</v>
      </c>
      <c r="I58" s="307">
        <v>595202.7389210423</v>
      </c>
      <c r="J58" s="307">
        <v>0</v>
      </c>
      <c r="K58" s="308">
        <f t="shared" si="4"/>
        <v>2806144.718921042</v>
      </c>
    </row>
    <row r="59" spans="1:11" ht="18" customHeight="1" x14ac:dyDescent="0.4">
      <c r="A59" s="1" t="s">
        <v>98</v>
      </c>
      <c r="B59" s="655" t="s">
        <v>688</v>
      </c>
      <c r="C59" s="653"/>
      <c r="D59" s="654"/>
      <c r="F59" s="306"/>
      <c r="G59" s="306"/>
      <c r="H59" s="307">
        <v>1456557.0533333337</v>
      </c>
      <c r="I59" s="115">
        <v>392116.46229575109</v>
      </c>
      <c r="J59" s="307">
        <v>0</v>
      </c>
      <c r="K59" s="308">
        <f t="shared" si="4"/>
        <v>1848673.5156290848</v>
      </c>
    </row>
    <row r="60" spans="1:11" ht="18" customHeight="1" x14ac:dyDescent="0.4">
      <c r="A60" s="1" t="s">
        <v>99</v>
      </c>
      <c r="B60" s="400" t="s">
        <v>689</v>
      </c>
      <c r="C60" s="401"/>
      <c r="D60" s="402"/>
      <c r="F60" s="306"/>
      <c r="G60" s="306"/>
      <c r="H60" s="307">
        <v>1239450.3866666667</v>
      </c>
      <c r="I60" s="115">
        <v>333669.66278361826</v>
      </c>
      <c r="J60" s="307">
        <v>0</v>
      </c>
      <c r="K60" s="308">
        <f t="shared" si="4"/>
        <v>1573120.049450285</v>
      </c>
    </row>
    <row r="61" spans="1:11" ht="18" customHeight="1" x14ac:dyDescent="0.4">
      <c r="A61" s="1" t="s">
        <v>100</v>
      </c>
      <c r="B61" s="400" t="s">
        <v>690</v>
      </c>
      <c r="C61" s="401"/>
      <c r="D61" s="402"/>
      <c r="F61" s="306"/>
      <c r="G61" s="306"/>
      <c r="H61" s="307">
        <v>1212280.9200000002</v>
      </c>
      <c r="I61" s="115">
        <v>326355.43150965968</v>
      </c>
      <c r="J61" s="307">
        <v>0</v>
      </c>
      <c r="K61" s="308">
        <f t="shared" si="4"/>
        <v>1538636.3515096598</v>
      </c>
    </row>
    <row r="62" spans="1:11" ht="47.2" customHeight="1" x14ac:dyDescent="0.4">
      <c r="A62" s="1" t="s">
        <v>101</v>
      </c>
      <c r="B62" s="734" t="s">
        <v>691</v>
      </c>
      <c r="C62" s="735"/>
      <c r="D62" s="736"/>
      <c r="F62" s="306"/>
      <c r="G62" s="306"/>
      <c r="H62" s="307">
        <v>6611205.0466666687</v>
      </c>
      <c r="I62" s="115">
        <v>1779787.7044899287</v>
      </c>
      <c r="J62" s="307">
        <v>0</v>
      </c>
      <c r="K62" s="308">
        <f t="shared" si="4"/>
        <v>8390992.7511565983</v>
      </c>
    </row>
    <row r="63" spans="1:11" ht="18" customHeight="1" x14ac:dyDescent="0.4">
      <c r="A63" s="1"/>
      <c r="I63" s="403"/>
    </row>
    <row r="64" spans="1:11" ht="18" customHeight="1" x14ac:dyDescent="0.4">
      <c r="A64" s="1" t="s">
        <v>144</v>
      </c>
      <c r="B64" s="95" t="s">
        <v>145</v>
      </c>
      <c r="E64" s="95" t="s">
        <v>7</v>
      </c>
      <c r="F64" s="310">
        <f t="shared" ref="F64:K64" si="5">SUM(F53:F62)</f>
        <v>0</v>
      </c>
      <c r="G64" s="310">
        <f t="shared" si="5"/>
        <v>0</v>
      </c>
      <c r="H64" s="308">
        <f t="shared" si="5"/>
        <v>22631203.38666667</v>
      </c>
      <c r="I64" s="308">
        <f t="shared" si="5"/>
        <v>3427132</v>
      </c>
      <c r="J64" s="308">
        <f t="shared" si="5"/>
        <v>0</v>
      </c>
      <c r="K64" s="308">
        <f t="shared" si="5"/>
        <v>26058335.38666667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6">SUM(F68:F72)</f>
        <v>0</v>
      </c>
      <c r="G74" s="411">
        <f t="shared" si="6"/>
        <v>0</v>
      </c>
      <c r="H74" s="411">
        <f t="shared" si="6"/>
        <v>0</v>
      </c>
      <c r="I74" s="412">
        <f t="shared" si="6"/>
        <v>0</v>
      </c>
      <c r="J74" s="411">
        <f t="shared" si="6"/>
        <v>0</v>
      </c>
      <c r="K74" s="308">
        <f t="shared" si="6"/>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10000</v>
      </c>
      <c r="I77" s="115">
        <v>5120.5327310457997</v>
      </c>
      <c r="J77" s="307">
        <v>0</v>
      </c>
      <c r="K77" s="308">
        <f>(H77+I77)-J77</f>
        <v>15120.5327310458</v>
      </c>
    </row>
    <row r="78" spans="1:11" ht="18" customHeight="1" x14ac:dyDescent="0.4">
      <c r="A78" s="1" t="s">
        <v>108</v>
      </c>
      <c r="B78" s="94" t="s">
        <v>55</v>
      </c>
      <c r="F78" s="306"/>
      <c r="G78" s="306"/>
      <c r="H78" s="307">
        <v>50000</v>
      </c>
      <c r="I78" s="115">
        <v>25602.663655228997</v>
      </c>
      <c r="J78" s="307">
        <v>0</v>
      </c>
      <c r="K78" s="308">
        <f>(H78+I78)-J78</f>
        <v>75602.663655229</v>
      </c>
    </row>
    <row r="79" spans="1:11" ht="18" customHeight="1" x14ac:dyDescent="0.4">
      <c r="A79" s="1" t="s">
        <v>109</v>
      </c>
      <c r="B79" s="94" t="s">
        <v>13</v>
      </c>
      <c r="F79" s="306">
        <v>20</v>
      </c>
      <c r="G79" s="306">
        <v>25</v>
      </c>
      <c r="H79" s="307">
        <v>896.5044678154328</v>
      </c>
      <c r="I79" s="115">
        <v>51.205327310457996</v>
      </c>
      <c r="J79" s="307">
        <v>0</v>
      </c>
      <c r="K79" s="308">
        <f>(H79+I79)-J79</f>
        <v>947.70979512589076</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7">SUM(F77:F80)</f>
        <v>20</v>
      </c>
      <c r="G82" s="411">
        <f t="shared" si="7"/>
        <v>25</v>
      </c>
      <c r="H82" s="308">
        <f t="shared" si="7"/>
        <v>60896.50446781543</v>
      </c>
      <c r="I82" s="308">
        <f t="shared" si="7"/>
        <v>30774.401713585252</v>
      </c>
      <c r="J82" s="308">
        <f t="shared" si="7"/>
        <v>0</v>
      </c>
      <c r="K82" s="308">
        <f t="shared" si="7"/>
        <v>91670.906181400685</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v>0</v>
      </c>
      <c r="J86" s="307"/>
      <c r="K86" s="308">
        <f t="shared" ref="K86:K96" si="8">(H86+I86)-J86</f>
        <v>0</v>
      </c>
    </row>
    <row r="87" spans="1:11" ht="18" customHeight="1" x14ac:dyDescent="0.4">
      <c r="A87" s="1" t="s">
        <v>114</v>
      </c>
      <c r="B87" s="94" t="s">
        <v>14</v>
      </c>
      <c r="F87" s="306"/>
      <c r="G87" s="306"/>
      <c r="H87" s="307">
        <v>3000</v>
      </c>
      <c r="I87" s="115">
        <v>1536.1598193137397</v>
      </c>
      <c r="J87" s="307">
        <v>0</v>
      </c>
      <c r="K87" s="308">
        <f t="shared" si="8"/>
        <v>4536.1598193137397</v>
      </c>
    </row>
    <row r="88" spans="1:11" ht="18" customHeight="1" x14ac:dyDescent="0.4">
      <c r="A88" s="1" t="s">
        <v>115</v>
      </c>
      <c r="B88" s="94" t="s">
        <v>116</v>
      </c>
      <c r="F88" s="306">
        <v>70</v>
      </c>
      <c r="G88" s="306">
        <v>60</v>
      </c>
      <c r="H88" s="307">
        <v>6687.7656373540158</v>
      </c>
      <c r="I88" s="115">
        <v>1997.0077651078618</v>
      </c>
      <c r="J88" s="307">
        <v>0</v>
      </c>
      <c r="K88" s="308">
        <f t="shared" si="8"/>
        <v>8684.7734024618767</v>
      </c>
    </row>
    <row r="89" spans="1:11" ht="18" customHeight="1" x14ac:dyDescent="0.4">
      <c r="A89" s="1" t="s">
        <v>117</v>
      </c>
      <c r="B89" s="94" t="s">
        <v>58</v>
      </c>
      <c r="F89" s="306"/>
      <c r="G89" s="306"/>
      <c r="H89" s="307"/>
      <c r="I89" s="115">
        <v>0</v>
      </c>
      <c r="J89" s="307"/>
      <c r="K89" s="308">
        <f t="shared" si="8"/>
        <v>0</v>
      </c>
    </row>
    <row r="90" spans="1:11" ht="18" customHeight="1" x14ac:dyDescent="0.4">
      <c r="A90" s="1" t="s">
        <v>118</v>
      </c>
      <c r="B90" s="635" t="s">
        <v>59</v>
      </c>
      <c r="C90" s="636"/>
      <c r="F90" s="306"/>
      <c r="G90" s="306"/>
      <c r="H90" s="307"/>
      <c r="I90" s="115">
        <v>0</v>
      </c>
      <c r="J90" s="307"/>
      <c r="K90" s="308">
        <f t="shared" si="8"/>
        <v>0</v>
      </c>
    </row>
    <row r="91" spans="1:11" ht="18" customHeight="1" x14ac:dyDescent="0.4">
      <c r="A91" s="1" t="s">
        <v>119</v>
      </c>
      <c r="B91" s="94" t="s">
        <v>60</v>
      </c>
      <c r="F91" s="306">
        <v>592</v>
      </c>
      <c r="G91" s="306"/>
      <c r="H91" s="307">
        <v>23576.532247336814</v>
      </c>
      <c r="I91" s="115">
        <v>15324.745960768929</v>
      </c>
      <c r="J91" s="307">
        <v>0</v>
      </c>
      <c r="K91" s="308">
        <f t="shared" si="8"/>
        <v>38901.278208105745</v>
      </c>
    </row>
    <row r="92" spans="1:11" ht="18" customHeight="1" x14ac:dyDescent="0.4">
      <c r="A92" s="1" t="s">
        <v>120</v>
      </c>
      <c r="B92" s="94" t="s">
        <v>121</v>
      </c>
      <c r="F92" s="107">
        <v>63</v>
      </c>
      <c r="G92" s="107">
        <v>1000</v>
      </c>
      <c r="H92" s="108">
        <v>2508.9890736186135</v>
      </c>
      <c r="I92" s="115">
        <v>1630.8428978520988</v>
      </c>
      <c r="J92" s="108">
        <v>0</v>
      </c>
      <c r="K92" s="308">
        <f t="shared" si="8"/>
        <v>4139.8319714707122</v>
      </c>
    </row>
    <row r="93" spans="1:11" ht="18" customHeight="1" x14ac:dyDescent="0.4">
      <c r="A93" s="1" t="s">
        <v>122</v>
      </c>
      <c r="B93" s="94" t="s">
        <v>123</v>
      </c>
      <c r="F93" s="306">
        <v>54</v>
      </c>
      <c r="G93" s="306">
        <v>564</v>
      </c>
      <c r="H93" s="307">
        <v>2240.5620631016691</v>
      </c>
      <c r="I93" s="115">
        <v>46.084794579412197</v>
      </c>
      <c r="J93" s="307">
        <v>0</v>
      </c>
      <c r="K93" s="308">
        <f t="shared" si="8"/>
        <v>2286.6468576810812</v>
      </c>
    </row>
    <row r="94" spans="1:11" ht="18" customHeight="1" x14ac:dyDescent="0.4">
      <c r="A94" s="1" t="s">
        <v>124</v>
      </c>
      <c r="B94" s="655"/>
      <c r="C94" s="653"/>
      <c r="D94" s="654"/>
      <c r="F94" s="306"/>
      <c r="G94" s="306"/>
      <c r="H94" s="307"/>
      <c r="I94" s="115">
        <v>0</v>
      </c>
      <c r="J94" s="307"/>
      <c r="K94" s="308">
        <f t="shared" si="8"/>
        <v>0</v>
      </c>
    </row>
    <row r="95" spans="1:11" ht="18" customHeight="1" x14ac:dyDescent="0.4">
      <c r="A95" s="1" t="s">
        <v>125</v>
      </c>
      <c r="B95" s="655"/>
      <c r="C95" s="653"/>
      <c r="D95" s="654"/>
      <c r="F95" s="306"/>
      <c r="G95" s="306"/>
      <c r="H95" s="307"/>
      <c r="I95" s="115">
        <v>0</v>
      </c>
      <c r="J95" s="307"/>
      <c r="K95" s="308">
        <f t="shared" si="8"/>
        <v>0</v>
      </c>
    </row>
    <row r="96" spans="1:11" ht="18" customHeight="1" x14ac:dyDescent="0.4">
      <c r="A96" s="1" t="s">
        <v>126</v>
      </c>
      <c r="B96" s="655"/>
      <c r="C96" s="653"/>
      <c r="D96" s="654"/>
      <c r="F96" s="306"/>
      <c r="G96" s="306"/>
      <c r="H96" s="307"/>
      <c r="I96" s="115">
        <v>0</v>
      </c>
      <c r="J96" s="307"/>
      <c r="K96" s="308">
        <f t="shared" si="8"/>
        <v>0</v>
      </c>
    </row>
    <row r="97" spans="1:11" ht="18" customHeight="1" x14ac:dyDescent="0.4">
      <c r="A97" s="1"/>
      <c r="B97" s="94"/>
    </row>
    <row r="98" spans="1:11" ht="18" customHeight="1" x14ac:dyDescent="0.4">
      <c r="A98" s="98" t="s">
        <v>150</v>
      </c>
      <c r="B98" s="95" t="s">
        <v>151</v>
      </c>
      <c r="E98" s="95" t="s">
        <v>7</v>
      </c>
      <c r="F98" s="310">
        <f t="shared" ref="F98:K98" si="9">SUM(F86:F96)</f>
        <v>779</v>
      </c>
      <c r="G98" s="310">
        <f t="shared" si="9"/>
        <v>1624</v>
      </c>
      <c r="H98" s="308">
        <f t="shared" si="9"/>
        <v>38013.849021411115</v>
      </c>
      <c r="I98" s="308">
        <f t="shared" si="9"/>
        <v>20534.84123762204</v>
      </c>
      <c r="J98" s="308">
        <f t="shared" si="9"/>
        <v>0</v>
      </c>
      <c r="K98" s="308">
        <f t="shared" si="9"/>
        <v>58548.690259033152</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500</v>
      </c>
      <c r="G102" s="306"/>
      <c r="H102" s="307">
        <v>19912.611695385822</v>
      </c>
      <c r="I102" s="115">
        <v>12943.197602000784</v>
      </c>
      <c r="J102" s="307">
        <v>0</v>
      </c>
      <c r="K102" s="308">
        <f>(H102+I102)-J102</f>
        <v>32855.809297386608</v>
      </c>
    </row>
    <row r="103" spans="1:11" ht="18" customHeight="1" x14ac:dyDescent="0.4">
      <c r="A103" s="1" t="s">
        <v>132</v>
      </c>
      <c r="B103" s="635" t="s">
        <v>62</v>
      </c>
      <c r="C103" s="635"/>
      <c r="F103" s="306">
        <v>1500</v>
      </c>
      <c r="G103" s="306"/>
      <c r="H103" s="307">
        <v>59737.835086157458</v>
      </c>
      <c r="I103" s="115">
        <v>38829.592806002351</v>
      </c>
      <c r="J103" s="307">
        <v>0</v>
      </c>
      <c r="K103" s="308">
        <f>(H103+I103)-J103</f>
        <v>98567.427892159816</v>
      </c>
    </row>
    <row r="104" spans="1:11" ht="18" customHeight="1" x14ac:dyDescent="0.4">
      <c r="A104" s="1" t="s">
        <v>128</v>
      </c>
      <c r="B104" s="655"/>
      <c r="C104" s="653"/>
      <c r="D104" s="654"/>
      <c r="F104" s="306"/>
      <c r="G104" s="306"/>
      <c r="H104" s="307"/>
      <c r="I104" s="115">
        <v>0</v>
      </c>
      <c r="J104" s="307"/>
      <c r="K104" s="308">
        <f>(H104+I104)-J104</f>
        <v>0</v>
      </c>
    </row>
    <row r="105" spans="1:11" ht="18" customHeight="1" x14ac:dyDescent="0.4">
      <c r="A105" s="1" t="s">
        <v>127</v>
      </c>
      <c r="B105" s="655"/>
      <c r="C105" s="653"/>
      <c r="D105" s="654"/>
      <c r="F105" s="306"/>
      <c r="G105" s="306"/>
      <c r="H105" s="307"/>
      <c r="I105" s="115">
        <v>0</v>
      </c>
      <c r="J105" s="307"/>
      <c r="K105" s="308">
        <f>(H105+I105)-J105</f>
        <v>0</v>
      </c>
    </row>
    <row r="106" spans="1:11" ht="18" customHeight="1" x14ac:dyDescent="0.4">
      <c r="A106" s="1" t="s">
        <v>129</v>
      </c>
      <c r="B106" s="655"/>
      <c r="C106" s="653"/>
      <c r="D106" s="654"/>
      <c r="F106" s="306"/>
      <c r="G106" s="306"/>
      <c r="H106" s="307"/>
      <c r="I106" s="115">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0">SUM(F102:F106)</f>
        <v>2000</v>
      </c>
      <c r="G108" s="310">
        <f t="shared" si="10"/>
        <v>0</v>
      </c>
      <c r="H108" s="308">
        <f t="shared" si="10"/>
        <v>79650.446781543287</v>
      </c>
      <c r="I108" s="308">
        <f t="shared" si="10"/>
        <v>51772.790408003137</v>
      </c>
      <c r="J108" s="308">
        <f t="shared" si="10"/>
        <v>0</v>
      </c>
      <c r="K108" s="308">
        <f t="shared" si="10"/>
        <v>131423.23718954643</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3090000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210123000</v>
      </c>
    </row>
    <row r="118" spans="1:6" ht="18" customHeight="1" x14ac:dyDescent="0.4">
      <c r="A118" s="1" t="s">
        <v>173</v>
      </c>
      <c r="B118" t="s">
        <v>18</v>
      </c>
      <c r="F118" s="307">
        <v>20097000</v>
      </c>
    </row>
    <row r="119" spans="1:6" ht="18" customHeight="1" x14ac:dyDescent="0.4">
      <c r="A119" s="1" t="s">
        <v>174</v>
      </c>
      <c r="B119" s="95" t="s">
        <v>19</v>
      </c>
      <c r="F119" s="308">
        <f>SUM(F117:F118)</f>
        <v>230220000</v>
      </c>
    </row>
    <row r="120" spans="1:6" ht="18" customHeight="1" x14ac:dyDescent="0.4">
      <c r="A120" s="1"/>
      <c r="B120" s="95"/>
    </row>
    <row r="121" spans="1:6" ht="18" customHeight="1" x14ac:dyDescent="0.4">
      <c r="A121" s="1" t="s">
        <v>167</v>
      </c>
      <c r="B121" s="95" t="s">
        <v>36</v>
      </c>
      <c r="F121" s="307">
        <v>218075000</v>
      </c>
    </row>
    <row r="122" spans="1:6" ht="18" customHeight="1" x14ac:dyDescent="0.4">
      <c r="A122" s="1"/>
      <c r="F122" s="545"/>
    </row>
    <row r="123" spans="1:6" ht="18" customHeight="1" x14ac:dyDescent="0.4">
      <c r="A123" s="1" t="s">
        <v>175</v>
      </c>
      <c r="B123" s="95" t="s">
        <v>20</v>
      </c>
      <c r="F123" s="307">
        <f>+F119-F121</f>
        <v>12145000</v>
      </c>
    </row>
    <row r="124" spans="1:6" ht="18" customHeight="1" x14ac:dyDescent="0.4">
      <c r="A124" s="1"/>
    </row>
    <row r="125" spans="1:6" ht="18" customHeight="1" x14ac:dyDescent="0.4">
      <c r="A125" s="1" t="s">
        <v>176</v>
      </c>
      <c r="B125" s="95" t="s">
        <v>21</v>
      </c>
      <c r="F125" s="307">
        <v>2068000</v>
      </c>
    </row>
    <row r="126" spans="1:6" ht="18" customHeight="1" x14ac:dyDescent="0.4">
      <c r="A126" s="1"/>
    </row>
    <row r="127" spans="1:6" ht="18" customHeight="1" x14ac:dyDescent="0.4">
      <c r="A127" s="1" t="s">
        <v>177</v>
      </c>
      <c r="B127" s="95" t="s">
        <v>22</v>
      </c>
      <c r="F127" s="307">
        <f>+F123+F125</f>
        <v>14213000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45256</v>
      </c>
      <c r="J131" s="307">
        <v>14880</v>
      </c>
      <c r="K131" s="308">
        <f>(H131+I131)-J131</f>
        <v>30376</v>
      </c>
    </row>
    <row r="132" spans="1:11" ht="18" customHeight="1" x14ac:dyDescent="0.4">
      <c r="A132" s="1" t="s">
        <v>159</v>
      </c>
      <c r="B132" t="s">
        <v>25</v>
      </c>
      <c r="F132" s="306"/>
      <c r="G132" s="306"/>
      <c r="H132" s="307"/>
      <c r="I132" s="115">
        <v>380773</v>
      </c>
      <c r="J132" s="307"/>
      <c r="K132" s="308">
        <f>(H132+I132)-J132</f>
        <v>380773</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1">SUM(F131:F135)</f>
        <v>0</v>
      </c>
      <c r="G137" s="310">
        <f t="shared" si="11"/>
        <v>0</v>
      </c>
      <c r="H137" s="308">
        <f t="shared" si="11"/>
        <v>0</v>
      </c>
      <c r="I137" s="308">
        <f t="shared" si="11"/>
        <v>426029</v>
      </c>
      <c r="J137" s="308">
        <f t="shared" si="11"/>
        <v>14880</v>
      </c>
      <c r="K137" s="308">
        <f t="shared" si="11"/>
        <v>411149</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2">F36</f>
        <v>5645</v>
      </c>
      <c r="G141" s="109">
        <f t="shared" si="12"/>
        <v>6172</v>
      </c>
      <c r="H141" s="217">
        <f t="shared" si="12"/>
        <v>4627229.7965964787</v>
      </c>
      <c r="I141" s="217">
        <f t="shared" si="12"/>
        <v>49123.446715333048</v>
      </c>
      <c r="J141" s="217">
        <f t="shared" si="12"/>
        <v>3216255.8264342435</v>
      </c>
      <c r="K141" s="106">
        <f t="shared" si="12"/>
        <v>1460097.4168775678</v>
      </c>
    </row>
    <row r="142" spans="1:11" ht="18" customHeight="1" x14ac:dyDescent="0.4">
      <c r="A142" s="1" t="s">
        <v>142</v>
      </c>
      <c r="B142" s="95" t="s">
        <v>65</v>
      </c>
      <c r="F142" s="109">
        <f t="shared" ref="F142:K142" si="13">F49</f>
        <v>1200</v>
      </c>
      <c r="G142" s="109">
        <f t="shared" si="13"/>
        <v>12</v>
      </c>
      <c r="H142" s="217">
        <f t="shared" si="13"/>
        <v>47790.268068925972</v>
      </c>
      <c r="I142" s="217">
        <f t="shared" si="13"/>
        <v>0</v>
      </c>
      <c r="J142" s="217">
        <f t="shared" si="13"/>
        <v>0</v>
      </c>
      <c r="K142" s="106">
        <f t="shared" si="13"/>
        <v>47790.268068925972</v>
      </c>
    </row>
    <row r="143" spans="1:11" ht="18" customHeight="1" x14ac:dyDescent="0.4">
      <c r="A143" s="1" t="s">
        <v>144</v>
      </c>
      <c r="B143" s="95" t="s">
        <v>66</v>
      </c>
      <c r="F143" s="109">
        <f t="shared" ref="F143:K143" si="14">F64</f>
        <v>0</v>
      </c>
      <c r="G143" s="109">
        <f t="shared" si="14"/>
        <v>0</v>
      </c>
      <c r="H143" s="217">
        <f t="shared" si="14"/>
        <v>22631203.38666667</v>
      </c>
      <c r="I143" s="217">
        <f t="shared" si="14"/>
        <v>3427132</v>
      </c>
      <c r="J143" s="217">
        <f t="shared" si="14"/>
        <v>0</v>
      </c>
      <c r="K143" s="106">
        <f t="shared" si="14"/>
        <v>26058335.38666667</v>
      </c>
    </row>
    <row r="144" spans="1:11" ht="18" customHeight="1" x14ac:dyDescent="0.4">
      <c r="A144" s="1" t="s">
        <v>146</v>
      </c>
      <c r="B144" s="95" t="s">
        <v>67</v>
      </c>
      <c r="F144" s="109">
        <f t="shared" ref="F144:K144" si="15">F74</f>
        <v>0</v>
      </c>
      <c r="G144" s="109">
        <f t="shared" si="15"/>
        <v>0</v>
      </c>
      <c r="H144" s="217">
        <f t="shared" si="15"/>
        <v>0</v>
      </c>
      <c r="I144" s="217">
        <f t="shared" si="15"/>
        <v>0</v>
      </c>
      <c r="J144" s="217">
        <f t="shared" si="15"/>
        <v>0</v>
      </c>
      <c r="K144" s="106">
        <f t="shared" si="15"/>
        <v>0</v>
      </c>
    </row>
    <row r="145" spans="1:11" ht="18" customHeight="1" x14ac:dyDescent="0.4">
      <c r="A145" s="1" t="s">
        <v>148</v>
      </c>
      <c r="B145" s="95" t="s">
        <v>68</v>
      </c>
      <c r="F145" s="109">
        <f t="shared" ref="F145:K145" si="16">F82</f>
        <v>20</v>
      </c>
      <c r="G145" s="109">
        <f t="shared" si="16"/>
        <v>25</v>
      </c>
      <c r="H145" s="217">
        <f t="shared" si="16"/>
        <v>60896.50446781543</v>
      </c>
      <c r="I145" s="217">
        <f t="shared" si="16"/>
        <v>30774.401713585252</v>
      </c>
      <c r="J145" s="217">
        <f t="shared" si="16"/>
        <v>0</v>
      </c>
      <c r="K145" s="106">
        <f t="shared" si="16"/>
        <v>91670.906181400685</v>
      </c>
    </row>
    <row r="146" spans="1:11" ht="18" customHeight="1" x14ac:dyDescent="0.4">
      <c r="A146" s="1" t="s">
        <v>150</v>
      </c>
      <c r="B146" s="95" t="s">
        <v>69</v>
      </c>
      <c r="F146" s="109">
        <f t="shared" ref="F146:K146" si="17">F98</f>
        <v>779</v>
      </c>
      <c r="G146" s="109">
        <f t="shared" si="17"/>
        <v>1624</v>
      </c>
      <c r="H146" s="217">
        <f t="shared" si="17"/>
        <v>38013.849021411115</v>
      </c>
      <c r="I146" s="217">
        <f t="shared" si="17"/>
        <v>20534.84123762204</v>
      </c>
      <c r="J146" s="217">
        <f t="shared" si="17"/>
        <v>0</v>
      </c>
      <c r="K146" s="106">
        <f t="shared" si="17"/>
        <v>58548.690259033152</v>
      </c>
    </row>
    <row r="147" spans="1:11" ht="18" customHeight="1" x14ac:dyDescent="0.4">
      <c r="A147" s="1" t="s">
        <v>153</v>
      </c>
      <c r="B147" s="95" t="s">
        <v>61</v>
      </c>
      <c r="F147" s="310">
        <f t="shared" ref="F147:K147" si="18">F108</f>
        <v>2000</v>
      </c>
      <c r="G147" s="310">
        <f t="shared" si="18"/>
        <v>0</v>
      </c>
      <c r="H147" s="351">
        <f t="shared" si="18"/>
        <v>79650.446781543287</v>
      </c>
      <c r="I147" s="351">
        <f t="shared" si="18"/>
        <v>51772.790408003137</v>
      </c>
      <c r="J147" s="351">
        <f t="shared" si="18"/>
        <v>0</v>
      </c>
      <c r="K147" s="308">
        <f t="shared" si="18"/>
        <v>131423.23718954643</v>
      </c>
    </row>
    <row r="148" spans="1:11" ht="18" customHeight="1" x14ac:dyDescent="0.4">
      <c r="A148" s="1" t="s">
        <v>155</v>
      </c>
      <c r="B148" s="95" t="s">
        <v>70</v>
      </c>
      <c r="F148" s="110" t="s">
        <v>73</v>
      </c>
      <c r="G148" s="110" t="s">
        <v>73</v>
      </c>
      <c r="H148" s="111" t="s">
        <v>73</v>
      </c>
      <c r="I148" s="111" t="s">
        <v>73</v>
      </c>
      <c r="J148" s="111" t="s">
        <v>73</v>
      </c>
      <c r="K148" s="106">
        <f>F111</f>
        <v>3090000</v>
      </c>
    </row>
    <row r="149" spans="1:11" ht="18" customHeight="1" x14ac:dyDescent="0.4">
      <c r="A149" s="1" t="s">
        <v>163</v>
      </c>
      <c r="B149" s="95" t="s">
        <v>71</v>
      </c>
      <c r="F149" s="310">
        <f t="shared" ref="F149:K149" si="19">F137</f>
        <v>0</v>
      </c>
      <c r="G149" s="310">
        <f t="shared" si="19"/>
        <v>0</v>
      </c>
      <c r="H149" s="351">
        <f t="shared" si="19"/>
        <v>0</v>
      </c>
      <c r="I149" s="351">
        <f t="shared" si="19"/>
        <v>426029</v>
      </c>
      <c r="J149" s="351">
        <f t="shared" si="19"/>
        <v>14880</v>
      </c>
      <c r="K149" s="308">
        <f t="shared" si="19"/>
        <v>411149</v>
      </c>
    </row>
    <row r="150" spans="1:11" ht="18" customHeight="1" x14ac:dyDescent="0.4">
      <c r="A150" s="1" t="s">
        <v>185</v>
      </c>
      <c r="B150" s="95" t="s">
        <v>183</v>
      </c>
      <c r="F150" s="110" t="s">
        <v>73</v>
      </c>
      <c r="G150" s="110" t="s">
        <v>73</v>
      </c>
      <c r="H150" s="351">
        <f>H18</f>
        <v>4275043.1100000003</v>
      </c>
      <c r="I150" s="351">
        <f>I18</f>
        <v>0</v>
      </c>
      <c r="J150" s="351">
        <f>J18</f>
        <v>3543028.13</v>
      </c>
      <c r="K150" s="308">
        <f>K18</f>
        <v>732014.98000000045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0">SUM(F141:F150)</f>
        <v>9644</v>
      </c>
      <c r="G152" s="114">
        <f t="shared" si="20"/>
        <v>7833</v>
      </c>
      <c r="H152" s="417">
        <f t="shared" si="20"/>
        <v>31759827.361602847</v>
      </c>
      <c r="I152" s="417">
        <f t="shared" si="20"/>
        <v>4005366.4800745435</v>
      </c>
      <c r="J152" s="417">
        <f t="shared" si="20"/>
        <v>6774163.9564342434</v>
      </c>
      <c r="K152" s="417">
        <f t="shared" si="20"/>
        <v>32081029.885243144</v>
      </c>
    </row>
    <row r="154" spans="1:11" ht="18" customHeight="1" x14ac:dyDescent="0.4">
      <c r="A154" s="98" t="s">
        <v>168</v>
      </c>
      <c r="B154" s="95" t="s">
        <v>28</v>
      </c>
      <c r="F154" s="318">
        <f>K152/F121</f>
        <v>0.1471100762822109</v>
      </c>
    </row>
    <row r="155" spans="1:11" ht="18" customHeight="1" x14ac:dyDescent="0.4">
      <c r="A155" s="98" t="s">
        <v>169</v>
      </c>
      <c r="B155" s="95" t="s">
        <v>72</v>
      </c>
      <c r="F155" s="318">
        <f>K152/F127</f>
        <v>2.2571610416691157</v>
      </c>
      <c r="G155" s="95"/>
    </row>
    <row r="156" spans="1:11" ht="18" customHeight="1" x14ac:dyDescent="0.4">
      <c r="G156" s="95"/>
    </row>
  </sheetData>
  <mergeCells count="34">
    <mergeCell ref="D2:H2"/>
    <mergeCell ref="B53:D53"/>
    <mergeCell ref="B55:D55"/>
    <mergeCell ref="B56:D56"/>
    <mergeCell ref="B57:D57"/>
    <mergeCell ref="C5:G5"/>
    <mergeCell ref="C6:G6"/>
    <mergeCell ref="C7:G7"/>
    <mergeCell ref="C9:G9"/>
    <mergeCell ref="C10:G10"/>
    <mergeCell ref="B41:C41"/>
    <mergeCell ref="B47:D47"/>
    <mergeCell ref="B52:C52"/>
    <mergeCell ref="C11:G11"/>
    <mergeCell ref="B13:H13"/>
    <mergeCell ref="B30:D30"/>
    <mergeCell ref="B135:D135"/>
    <mergeCell ref="B104:D104"/>
    <mergeCell ref="B105:D105"/>
    <mergeCell ref="B106:D106"/>
    <mergeCell ref="B133:D133"/>
    <mergeCell ref="B134:D134"/>
    <mergeCell ref="B31:D31"/>
    <mergeCell ref="B34:D34"/>
    <mergeCell ref="B44:D44"/>
    <mergeCell ref="B96:D96"/>
    <mergeCell ref="B103:C103"/>
    <mergeCell ref="B45:D45"/>
    <mergeCell ref="B46:D46"/>
    <mergeCell ref="B90:C90"/>
    <mergeCell ref="B94:D94"/>
    <mergeCell ref="B95:D95"/>
    <mergeCell ref="B59:D59"/>
    <mergeCell ref="B62:D62"/>
  </mergeCells>
  <pageMargins left="0.75" right="0.75" top="1" bottom="1" header="0.5" footer="0.5"/>
  <pageSetup scale="59" fitToHeight="0" orientation="landscape" horizontalDpi="1200" verticalDpi="1200" r:id="rId1"/>
  <headerFooter alignWithMargins="0"/>
  <rowBreaks count="4" manualBreakCount="4">
    <brk id="37" max="16383" man="1"/>
    <brk id="67" max="16383" man="1"/>
    <brk id="112" max="16383" man="1"/>
    <brk id="13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dimension ref="A1:K156"/>
  <sheetViews>
    <sheetView showGridLines="0" topLeftCell="A133" zoomScale="80" zoomScaleNormal="80" zoomScaleSheetLayoutView="100" zoomScalePageLayoutView="80" workbookViewId="0">
      <selection activeCell="E143" sqref="E143"/>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634</v>
      </c>
      <c r="D5" s="666"/>
      <c r="E5" s="666"/>
      <c r="F5" s="666"/>
      <c r="G5" s="667"/>
    </row>
    <row r="6" spans="1:11" ht="18" customHeight="1" x14ac:dyDescent="0.4">
      <c r="B6" s="1" t="s">
        <v>3</v>
      </c>
      <c r="C6" s="668" t="s">
        <v>782</v>
      </c>
      <c r="D6" s="669"/>
      <c r="E6" s="669"/>
      <c r="F6" s="669"/>
      <c r="G6" s="670"/>
    </row>
    <row r="7" spans="1:11" ht="18" customHeight="1" x14ac:dyDescent="0.4">
      <c r="B7" s="1" t="s">
        <v>4</v>
      </c>
      <c r="C7" s="797" t="s">
        <v>783</v>
      </c>
      <c r="D7" s="690"/>
      <c r="E7" s="690"/>
      <c r="F7" s="690"/>
      <c r="G7" s="691"/>
    </row>
    <row r="9" spans="1:11" ht="18" customHeight="1" x14ac:dyDescent="0.4">
      <c r="B9" s="1" t="s">
        <v>1</v>
      </c>
      <c r="C9" s="663" t="s">
        <v>784</v>
      </c>
      <c r="D9" s="666"/>
      <c r="E9" s="666"/>
      <c r="F9" s="666"/>
      <c r="G9" s="667"/>
    </row>
    <row r="10" spans="1:11" ht="18" customHeight="1" x14ac:dyDescent="0.4">
      <c r="B10" s="1" t="s">
        <v>2</v>
      </c>
      <c r="C10" s="660"/>
      <c r="D10" s="661"/>
      <c r="E10" s="661"/>
      <c r="F10" s="661"/>
      <c r="G10" s="662"/>
    </row>
    <row r="11" spans="1:11" ht="18" customHeight="1" x14ac:dyDescent="0.4">
      <c r="B11" s="1" t="s">
        <v>32</v>
      </c>
      <c r="C11" s="682" t="s">
        <v>785</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4122514.94</v>
      </c>
      <c r="I18" s="115">
        <v>0</v>
      </c>
      <c r="J18" s="307">
        <v>3416617.34</v>
      </c>
      <c r="K18" s="308">
        <f>(H18+I18)-J18</f>
        <v>705897.60000000009</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3821</v>
      </c>
      <c r="G21" s="306">
        <v>4497</v>
      </c>
      <c r="H21" s="307">
        <v>164297.78</v>
      </c>
      <c r="I21" s="115">
        <f>H21*F$114</f>
        <v>105150.57920000001</v>
      </c>
      <c r="J21" s="307">
        <v>0</v>
      </c>
      <c r="K21" s="308">
        <f t="shared" ref="K21:K34" si="0">(H21+I21)-J21</f>
        <v>269448.35920000001</v>
      </c>
    </row>
    <row r="22" spans="1:11" ht="18" customHeight="1" x14ac:dyDescent="0.4">
      <c r="A22" s="1" t="s">
        <v>76</v>
      </c>
      <c r="B22" t="s">
        <v>6</v>
      </c>
      <c r="F22" s="306"/>
      <c r="G22" s="306"/>
      <c r="H22" s="307"/>
      <c r="I22" s="115">
        <f t="shared" ref="I22:I34" si="1">H22*F$114</f>
        <v>0</v>
      </c>
      <c r="J22" s="307"/>
      <c r="K22" s="308">
        <f t="shared" si="0"/>
        <v>0</v>
      </c>
    </row>
    <row r="23" spans="1:11" ht="18" customHeight="1" x14ac:dyDescent="0.4">
      <c r="A23" s="1" t="s">
        <v>77</v>
      </c>
      <c r="B23" t="s">
        <v>43</v>
      </c>
      <c r="F23" s="306"/>
      <c r="G23" s="306"/>
      <c r="H23" s="307"/>
      <c r="I23" s="115">
        <f t="shared" si="1"/>
        <v>0</v>
      </c>
      <c r="J23" s="307"/>
      <c r="K23" s="308">
        <f t="shared" si="0"/>
        <v>0</v>
      </c>
    </row>
    <row r="24" spans="1:11" ht="18" customHeight="1" x14ac:dyDescent="0.4">
      <c r="A24" s="1" t="s">
        <v>78</v>
      </c>
      <c r="B24" t="s">
        <v>44</v>
      </c>
      <c r="F24" s="306"/>
      <c r="G24" s="306"/>
      <c r="H24" s="307"/>
      <c r="I24" s="115">
        <f t="shared" si="1"/>
        <v>0</v>
      </c>
      <c r="J24" s="307"/>
      <c r="K24" s="308">
        <f t="shared" si="0"/>
        <v>0</v>
      </c>
    </row>
    <row r="25" spans="1:11" ht="18" customHeight="1" x14ac:dyDescent="0.4">
      <c r="A25" s="1" t="s">
        <v>79</v>
      </c>
      <c r="B25" t="s">
        <v>5</v>
      </c>
      <c r="F25" s="306">
        <v>2080</v>
      </c>
      <c r="G25" s="306">
        <v>671</v>
      </c>
      <c r="H25" s="307">
        <v>65054.999999999993</v>
      </c>
      <c r="I25" s="115">
        <f t="shared" si="1"/>
        <v>41635.199999999997</v>
      </c>
      <c r="J25" s="307">
        <v>0</v>
      </c>
      <c r="K25" s="308">
        <f t="shared" si="0"/>
        <v>106690.19999999998</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v>4160</v>
      </c>
      <c r="G29" s="306">
        <v>5000</v>
      </c>
      <c r="H29" s="307">
        <v>712234.46500000008</v>
      </c>
      <c r="I29" s="115">
        <f t="shared" si="1"/>
        <v>455830.05760000006</v>
      </c>
      <c r="J29" s="307">
        <v>0</v>
      </c>
      <c r="K29" s="308">
        <f t="shared" si="0"/>
        <v>1168064.5226000003</v>
      </c>
    </row>
    <row r="30" spans="1:11" ht="18" customHeight="1" x14ac:dyDescent="0.4">
      <c r="A30" s="1" t="s">
        <v>84</v>
      </c>
      <c r="B30" s="630"/>
      <c r="C30" s="631"/>
      <c r="D30" s="632"/>
      <c r="F30" s="306"/>
      <c r="G30" s="306"/>
      <c r="H30" s="307"/>
      <c r="I30" s="115">
        <f t="shared" si="1"/>
        <v>0</v>
      </c>
      <c r="J30" s="307"/>
      <c r="K30" s="308">
        <f t="shared" si="0"/>
        <v>0</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10061</v>
      </c>
      <c r="G36" s="310">
        <f t="shared" si="2"/>
        <v>10168</v>
      </c>
      <c r="H36" s="310">
        <f t="shared" si="2"/>
        <v>941587.24500000011</v>
      </c>
      <c r="I36" s="308">
        <f t="shared" si="2"/>
        <v>602615.83680000005</v>
      </c>
      <c r="J36" s="308">
        <f t="shared" si="2"/>
        <v>0</v>
      </c>
      <c r="K36" s="308">
        <f t="shared" si="2"/>
        <v>1544203.0818000003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C40" s="94"/>
      <c r="F40" s="306">
        <v>94317.4</v>
      </c>
      <c r="G40" s="306">
        <v>11388.5</v>
      </c>
      <c r="H40" s="307">
        <v>5399222.0116666639</v>
      </c>
      <c r="I40" s="115">
        <v>0</v>
      </c>
      <c r="J40" s="307">
        <v>0</v>
      </c>
      <c r="K40" s="308">
        <f t="shared" ref="K40:K47" si="3">(H40+I40)-J40</f>
        <v>5399222.0116666639</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v>0</v>
      </c>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21">
        <f t="shared" ref="F49:K49" si="4">SUM(F40:F47)</f>
        <v>94317.4</v>
      </c>
      <c r="G49" s="312">
        <f t="shared" si="4"/>
        <v>11388.5</v>
      </c>
      <c r="H49" s="308">
        <f t="shared" si="4"/>
        <v>5399222.0116666639</v>
      </c>
      <c r="I49" s="308">
        <f t="shared" si="4"/>
        <v>0</v>
      </c>
      <c r="J49" s="308">
        <f t="shared" si="4"/>
        <v>0</v>
      </c>
      <c r="K49" s="308">
        <f t="shared" si="4"/>
        <v>5399222.0116666639</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40" t="s">
        <v>786</v>
      </c>
      <c r="C53" s="659"/>
      <c r="D53" s="654"/>
      <c r="F53" s="306"/>
      <c r="G53" s="306"/>
      <c r="H53" s="363">
        <v>3947049.72</v>
      </c>
      <c r="I53" s="115">
        <v>0</v>
      </c>
      <c r="J53" s="307">
        <v>2494398.67</v>
      </c>
      <c r="K53" s="308">
        <f t="shared" ref="K53:K62" si="5">(H53+I53)-J53</f>
        <v>1452651.0500000003</v>
      </c>
    </row>
    <row r="54" spans="1:11" ht="18" customHeight="1" x14ac:dyDescent="0.4">
      <c r="A54" s="1" t="s">
        <v>93</v>
      </c>
      <c r="B54" s="483" t="s">
        <v>787</v>
      </c>
      <c r="C54" s="401"/>
      <c r="D54" s="402"/>
      <c r="F54" s="306"/>
      <c r="G54" s="306"/>
      <c r="H54" s="307">
        <v>8931114.5199999996</v>
      </c>
      <c r="I54" s="115">
        <v>0</v>
      </c>
      <c r="J54" s="307">
        <v>0</v>
      </c>
      <c r="K54" s="308">
        <f t="shared" si="5"/>
        <v>8931114.5199999996</v>
      </c>
    </row>
    <row r="55" spans="1:11" ht="18" customHeight="1" x14ac:dyDescent="0.4">
      <c r="A55" s="1" t="s">
        <v>94</v>
      </c>
      <c r="B55" s="652" t="s">
        <v>788</v>
      </c>
      <c r="C55" s="653"/>
      <c r="D55" s="654"/>
      <c r="F55" s="306"/>
      <c r="G55" s="306"/>
      <c r="H55" s="307">
        <v>57430</v>
      </c>
      <c r="I55" s="115">
        <v>0</v>
      </c>
      <c r="J55" s="307">
        <v>9778</v>
      </c>
      <c r="K55" s="308">
        <f t="shared" si="5"/>
        <v>47652</v>
      </c>
    </row>
    <row r="56" spans="1:11" ht="18" customHeight="1" x14ac:dyDescent="0.4">
      <c r="A56" s="1" t="s">
        <v>95</v>
      </c>
      <c r="B56" s="652" t="s">
        <v>789</v>
      </c>
      <c r="C56" s="653"/>
      <c r="D56" s="654"/>
      <c r="F56" s="306"/>
      <c r="G56" s="306"/>
      <c r="H56" s="307">
        <v>3342407.14</v>
      </c>
      <c r="I56" s="115">
        <v>0</v>
      </c>
      <c r="J56" s="307">
        <v>0</v>
      </c>
      <c r="K56" s="308">
        <f t="shared" si="5"/>
        <v>3342407.14</v>
      </c>
    </row>
    <row r="57" spans="1:11" ht="18" customHeight="1" x14ac:dyDescent="0.4">
      <c r="A57" s="1" t="s">
        <v>96</v>
      </c>
      <c r="B57" s="652" t="s">
        <v>790</v>
      </c>
      <c r="C57" s="653"/>
      <c r="D57" s="654"/>
      <c r="F57" s="306"/>
      <c r="G57" s="306"/>
      <c r="H57" s="307">
        <v>82872.22</v>
      </c>
      <c r="I57" s="115">
        <v>0</v>
      </c>
      <c r="J57" s="307">
        <v>20272</v>
      </c>
      <c r="K57" s="308">
        <f t="shared" si="5"/>
        <v>62600.22</v>
      </c>
    </row>
    <row r="58" spans="1:11" ht="18" customHeight="1" x14ac:dyDescent="0.4">
      <c r="A58" s="1" t="s">
        <v>97</v>
      </c>
      <c r="B58" s="483" t="s">
        <v>791</v>
      </c>
      <c r="C58" s="401"/>
      <c r="D58" s="402"/>
      <c r="F58" s="306"/>
      <c r="G58" s="306"/>
      <c r="H58" s="307">
        <v>1415433.86</v>
      </c>
      <c r="I58" s="115">
        <v>0</v>
      </c>
      <c r="J58" s="307">
        <v>0</v>
      </c>
      <c r="K58" s="308">
        <f t="shared" si="5"/>
        <v>1415433.86</v>
      </c>
    </row>
    <row r="59" spans="1:11" ht="18" customHeight="1" x14ac:dyDescent="0.4">
      <c r="A59" s="1" t="s">
        <v>98</v>
      </c>
      <c r="B59" s="652" t="s">
        <v>792</v>
      </c>
      <c r="C59" s="653"/>
      <c r="D59" s="654"/>
      <c r="F59" s="306"/>
      <c r="G59" s="306"/>
      <c r="H59" s="307">
        <v>94611.6</v>
      </c>
      <c r="I59" s="115">
        <v>0</v>
      </c>
      <c r="J59" s="307">
        <v>57076</v>
      </c>
      <c r="K59" s="308">
        <f t="shared" si="5"/>
        <v>37535.600000000006</v>
      </c>
    </row>
    <row r="60" spans="1:11" ht="18" customHeight="1" x14ac:dyDescent="0.4">
      <c r="A60" s="1" t="s">
        <v>99</v>
      </c>
      <c r="B60" s="483" t="s">
        <v>793</v>
      </c>
      <c r="C60" s="401"/>
      <c r="D60" s="402"/>
      <c r="F60" s="306"/>
      <c r="G60" s="306"/>
      <c r="H60" s="307">
        <v>174800</v>
      </c>
      <c r="I60" s="115">
        <v>0</v>
      </c>
      <c r="J60" s="307">
        <v>47484</v>
      </c>
      <c r="K60" s="308">
        <f t="shared" si="5"/>
        <v>127316</v>
      </c>
    </row>
    <row r="61" spans="1:11" ht="18" customHeight="1" x14ac:dyDescent="0.4">
      <c r="A61" s="1" t="s">
        <v>100</v>
      </c>
      <c r="B61" s="483" t="s">
        <v>794</v>
      </c>
      <c r="C61" s="401"/>
      <c r="D61" s="402"/>
      <c r="F61" s="306"/>
      <c r="G61" s="306"/>
      <c r="H61" s="307">
        <v>268367.84999999998</v>
      </c>
      <c r="I61" s="115">
        <v>0</v>
      </c>
      <c r="J61" s="307">
        <v>27780</v>
      </c>
      <c r="K61" s="308">
        <f t="shared" si="5"/>
        <v>240587.84999999998</v>
      </c>
    </row>
    <row r="62" spans="1:11" ht="18" customHeight="1" x14ac:dyDescent="0.4">
      <c r="A62" s="1" t="s">
        <v>101</v>
      </c>
      <c r="B62" s="652" t="s">
        <v>795</v>
      </c>
      <c r="C62" s="653"/>
      <c r="D62" s="654"/>
      <c r="F62" s="306"/>
      <c r="G62" s="306"/>
      <c r="H62" s="307">
        <v>2130461.2999999998</v>
      </c>
      <c r="I62" s="115">
        <v>0</v>
      </c>
      <c r="J62" s="307">
        <v>0</v>
      </c>
      <c r="K62" s="308">
        <f t="shared" si="5"/>
        <v>2130461.2999999998</v>
      </c>
    </row>
    <row r="63" spans="1:11" ht="18" customHeight="1" x14ac:dyDescent="0.4">
      <c r="A63" s="1"/>
      <c r="I63" s="403"/>
    </row>
    <row r="64" spans="1:11" ht="18" customHeight="1" x14ac:dyDescent="0.4">
      <c r="A64" s="1" t="s">
        <v>144</v>
      </c>
      <c r="B64" s="95" t="s">
        <v>145</v>
      </c>
      <c r="E64" s="95" t="s">
        <v>7</v>
      </c>
      <c r="F64" s="310">
        <f t="shared" ref="F64:K64" si="6">SUM(F53:F62)</f>
        <v>0</v>
      </c>
      <c r="G64" s="310">
        <f t="shared" si="6"/>
        <v>0</v>
      </c>
      <c r="H64" s="308">
        <f t="shared" si="6"/>
        <v>20444548.210000005</v>
      </c>
      <c r="I64" s="308">
        <f t="shared" si="6"/>
        <v>0</v>
      </c>
      <c r="J64" s="308">
        <f t="shared" si="6"/>
        <v>2656788.67</v>
      </c>
      <c r="K64" s="308">
        <f t="shared" si="6"/>
        <v>17787759.539999999</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1030</v>
      </c>
      <c r="H77" s="307">
        <v>0</v>
      </c>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24</v>
      </c>
      <c r="G79" s="306">
        <v>62</v>
      </c>
      <c r="H79" s="319">
        <v>27916.6</v>
      </c>
      <c r="I79" s="115">
        <v>0</v>
      </c>
      <c r="J79" s="307"/>
      <c r="K79" s="351">
        <f>(H79+I79)-J79</f>
        <v>27916.6</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24</v>
      </c>
      <c r="G82" s="411">
        <f t="shared" si="8"/>
        <v>1092</v>
      </c>
      <c r="H82" s="351">
        <f t="shared" si="8"/>
        <v>27916.6</v>
      </c>
      <c r="I82" s="308">
        <f t="shared" si="8"/>
        <v>0</v>
      </c>
      <c r="J82" s="308">
        <f t="shared" si="8"/>
        <v>0</v>
      </c>
      <c r="K82" s="351">
        <f t="shared" si="8"/>
        <v>27916.6</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C88" s="94"/>
      <c r="F88" s="306">
        <v>104</v>
      </c>
      <c r="G88" s="306">
        <v>1632</v>
      </c>
      <c r="H88" s="307">
        <v>6681.7840000000006</v>
      </c>
      <c r="I88" s="115">
        <f t="shared" si="9"/>
        <v>4276.3417600000002</v>
      </c>
      <c r="J88" s="307">
        <v>0</v>
      </c>
      <c r="K88" s="308">
        <f t="shared" si="10"/>
        <v>10958.125760000001</v>
      </c>
    </row>
    <row r="89" spans="1:11" ht="18" customHeight="1" x14ac:dyDescent="0.4">
      <c r="A89" s="1" t="s">
        <v>117</v>
      </c>
      <c r="B89" s="94" t="s">
        <v>58</v>
      </c>
      <c r="F89" s="306">
        <v>312</v>
      </c>
      <c r="G89" s="306">
        <v>0</v>
      </c>
      <c r="H89" s="307">
        <v>17811.300000000003</v>
      </c>
      <c r="I89" s="115">
        <f t="shared" si="9"/>
        <v>11399.232000000002</v>
      </c>
      <c r="J89" s="307">
        <v>0</v>
      </c>
      <c r="K89" s="308">
        <f t="shared" si="10"/>
        <v>29210.532000000007</v>
      </c>
    </row>
    <row r="90" spans="1:11" ht="18" customHeight="1" x14ac:dyDescent="0.4">
      <c r="A90" s="1" t="s">
        <v>118</v>
      </c>
      <c r="B90" s="635" t="s">
        <v>59</v>
      </c>
      <c r="C90" s="636"/>
      <c r="F90" s="306">
        <v>1018</v>
      </c>
      <c r="G90" s="306"/>
      <c r="H90" s="307">
        <v>49888.224999999999</v>
      </c>
      <c r="I90" s="115">
        <f t="shared" si="9"/>
        <v>31928.464</v>
      </c>
      <c r="J90" s="307">
        <v>0</v>
      </c>
      <c r="K90" s="308">
        <f t="shared" si="10"/>
        <v>81816.688999999998</v>
      </c>
    </row>
    <row r="91" spans="1:11" ht="18" customHeight="1" x14ac:dyDescent="0.4">
      <c r="A91" s="1" t="s">
        <v>119</v>
      </c>
      <c r="B91" s="94" t="s">
        <v>60</v>
      </c>
      <c r="F91" s="306">
        <v>6</v>
      </c>
      <c r="G91" s="306">
        <v>0</v>
      </c>
      <c r="H91" s="307">
        <v>1203.75</v>
      </c>
      <c r="I91" s="115">
        <f t="shared" si="9"/>
        <v>770.4</v>
      </c>
      <c r="J91" s="307">
        <v>0</v>
      </c>
      <c r="K91" s="308">
        <f t="shared" si="10"/>
        <v>1974.15</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v>2080</v>
      </c>
      <c r="G93" s="306">
        <v>1137</v>
      </c>
      <c r="H93" s="307">
        <v>106340</v>
      </c>
      <c r="I93" s="115">
        <f t="shared" si="9"/>
        <v>68057.600000000006</v>
      </c>
      <c r="J93" s="307">
        <v>0</v>
      </c>
      <c r="K93" s="308">
        <f t="shared" si="10"/>
        <v>174397.6</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3520</v>
      </c>
      <c r="G98" s="310">
        <f t="shared" si="11"/>
        <v>2769</v>
      </c>
      <c r="H98" s="351">
        <f t="shared" si="11"/>
        <v>181925.05900000001</v>
      </c>
      <c r="I98" s="351">
        <f t="shared" si="11"/>
        <v>116432.03776000001</v>
      </c>
      <c r="J98" s="351">
        <f t="shared" si="11"/>
        <v>0</v>
      </c>
      <c r="K98" s="351">
        <f t="shared" si="11"/>
        <v>298357.09675999999</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426</v>
      </c>
      <c r="G102" s="306"/>
      <c r="H102" s="307">
        <v>47339.299999999996</v>
      </c>
      <c r="I102" s="115">
        <f>H102*F$114</f>
        <v>30297.151999999998</v>
      </c>
      <c r="J102" s="307">
        <v>0</v>
      </c>
      <c r="K102" s="308">
        <f>(H102+I102)-J102</f>
        <v>77636.45199999999</v>
      </c>
    </row>
    <row r="103" spans="1:11" ht="18" customHeight="1" x14ac:dyDescent="0.4">
      <c r="A103" s="1" t="s">
        <v>132</v>
      </c>
      <c r="B103" s="635" t="s">
        <v>62</v>
      </c>
      <c r="C103" s="635"/>
      <c r="F103" s="306">
        <v>312</v>
      </c>
      <c r="G103" s="306"/>
      <c r="H103" s="307">
        <v>26157.299999999996</v>
      </c>
      <c r="I103" s="115">
        <f>H103*F$114</f>
        <v>16740.671999999999</v>
      </c>
      <c r="J103" s="307">
        <v>0</v>
      </c>
      <c r="K103" s="308">
        <f>(H103+I103)-J103</f>
        <v>42897.971999999994</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738</v>
      </c>
      <c r="G108" s="310">
        <f t="shared" si="12"/>
        <v>0</v>
      </c>
      <c r="H108" s="308">
        <f t="shared" si="12"/>
        <v>73496.599999999991</v>
      </c>
      <c r="I108" s="308">
        <f t="shared" si="12"/>
        <v>47037.823999999993</v>
      </c>
      <c r="J108" s="308">
        <f t="shared" si="12"/>
        <v>0</v>
      </c>
      <c r="K108" s="308">
        <f t="shared" si="12"/>
        <v>120534.42399999998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3763000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0.64</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185142000</v>
      </c>
    </row>
    <row r="118" spans="1:6" ht="18" customHeight="1" x14ac:dyDescent="0.4">
      <c r="A118" s="1" t="s">
        <v>173</v>
      </c>
      <c r="B118" t="s">
        <v>18</v>
      </c>
      <c r="F118" s="307">
        <v>40691000</v>
      </c>
    </row>
    <row r="119" spans="1:6" ht="18" customHeight="1" x14ac:dyDescent="0.4">
      <c r="A119" s="1" t="s">
        <v>174</v>
      </c>
      <c r="B119" s="95" t="s">
        <v>19</v>
      </c>
      <c r="F119" s="308">
        <f>SUM(F117:F118)</f>
        <v>225833000</v>
      </c>
    </row>
    <row r="120" spans="1:6" ht="18" customHeight="1" x14ac:dyDescent="0.4">
      <c r="A120" s="1"/>
      <c r="B120" s="95"/>
    </row>
    <row r="121" spans="1:6" ht="18" customHeight="1" x14ac:dyDescent="0.4">
      <c r="A121" s="1" t="s">
        <v>167</v>
      </c>
      <c r="B121" s="95" t="s">
        <v>36</v>
      </c>
      <c r="F121" s="307">
        <v>232223000</v>
      </c>
    </row>
    <row r="122" spans="1:6" ht="18" customHeight="1" x14ac:dyDescent="0.4">
      <c r="A122" s="1"/>
    </row>
    <row r="123" spans="1:6" ht="18" customHeight="1" x14ac:dyDescent="0.4">
      <c r="A123" s="1" t="s">
        <v>175</v>
      </c>
      <c r="B123" s="95" t="s">
        <v>20</v>
      </c>
      <c r="F123" s="307">
        <v>-6390000</v>
      </c>
    </row>
    <row r="124" spans="1:6" ht="18" customHeight="1" x14ac:dyDescent="0.4">
      <c r="A124" s="1"/>
    </row>
    <row r="125" spans="1:6" ht="18" customHeight="1" x14ac:dyDescent="0.4">
      <c r="A125" s="1" t="s">
        <v>176</v>
      </c>
      <c r="B125" s="95" t="s">
        <v>21</v>
      </c>
      <c r="F125" s="307">
        <v>-983000</v>
      </c>
    </row>
    <row r="126" spans="1:6" ht="18" customHeight="1" x14ac:dyDescent="0.4">
      <c r="A126" s="1"/>
    </row>
    <row r="127" spans="1:6" ht="18" customHeight="1" x14ac:dyDescent="0.4">
      <c r="A127" s="1" t="s">
        <v>177</v>
      </c>
      <c r="B127" s="95" t="s">
        <v>22</v>
      </c>
      <c r="F127" s="307">
        <f>+F123+F125</f>
        <v>-7373000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10061</v>
      </c>
      <c r="G141" s="109">
        <f t="shared" si="14"/>
        <v>10168</v>
      </c>
      <c r="H141" s="217">
        <f t="shared" si="14"/>
        <v>941587.24500000011</v>
      </c>
      <c r="I141" s="217">
        <f t="shared" si="14"/>
        <v>602615.83680000005</v>
      </c>
      <c r="J141" s="217">
        <f t="shared" si="14"/>
        <v>0</v>
      </c>
      <c r="K141" s="217">
        <f t="shared" si="14"/>
        <v>1544203.0818000003</v>
      </c>
    </row>
    <row r="142" spans="1:11" ht="18" customHeight="1" x14ac:dyDescent="0.4">
      <c r="A142" s="1" t="s">
        <v>142</v>
      </c>
      <c r="B142" s="95" t="s">
        <v>65</v>
      </c>
      <c r="F142" s="109">
        <f t="shared" ref="F142:K142" si="15">F49</f>
        <v>94317.4</v>
      </c>
      <c r="G142" s="109">
        <f t="shared" si="15"/>
        <v>11388.5</v>
      </c>
      <c r="H142" s="217">
        <f t="shared" si="15"/>
        <v>5399222.0116666639</v>
      </c>
      <c r="I142" s="217">
        <f t="shared" si="15"/>
        <v>0</v>
      </c>
      <c r="J142" s="217">
        <f t="shared" si="15"/>
        <v>0</v>
      </c>
      <c r="K142" s="217">
        <f t="shared" si="15"/>
        <v>5399222.0116666639</v>
      </c>
    </row>
    <row r="143" spans="1:11" ht="18" customHeight="1" x14ac:dyDescent="0.4">
      <c r="A143" s="1" t="s">
        <v>144</v>
      </c>
      <c r="B143" s="95" t="s">
        <v>66</v>
      </c>
      <c r="F143" s="109">
        <f t="shared" ref="F143:K143" si="16">F64</f>
        <v>0</v>
      </c>
      <c r="G143" s="109">
        <f t="shared" si="16"/>
        <v>0</v>
      </c>
      <c r="H143" s="217">
        <f t="shared" si="16"/>
        <v>20444548.210000005</v>
      </c>
      <c r="I143" s="217">
        <f t="shared" si="16"/>
        <v>0</v>
      </c>
      <c r="J143" s="217">
        <f t="shared" si="16"/>
        <v>2656788.67</v>
      </c>
      <c r="K143" s="217">
        <f t="shared" si="16"/>
        <v>17787759.539999999</v>
      </c>
    </row>
    <row r="144" spans="1:11" ht="18" customHeight="1" x14ac:dyDescent="0.4">
      <c r="A144" s="1" t="s">
        <v>146</v>
      </c>
      <c r="B144" s="95" t="s">
        <v>67</v>
      </c>
      <c r="F144" s="109">
        <f t="shared" ref="F144:K144" si="17">F74</f>
        <v>0</v>
      </c>
      <c r="G144" s="109">
        <f t="shared" si="17"/>
        <v>0</v>
      </c>
      <c r="H144" s="217">
        <f t="shared" si="17"/>
        <v>0</v>
      </c>
      <c r="I144" s="217">
        <f t="shared" si="17"/>
        <v>0</v>
      </c>
      <c r="J144" s="217">
        <f t="shared" si="17"/>
        <v>0</v>
      </c>
      <c r="K144" s="217">
        <f t="shared" si="17"/>
        <v>0</v>
      </c>
    </row>
    <row r="145" spans="1:11" ht="18" customHeight="1" x14ac:dyDescent="0.4">
      <c r="A145" s="1" t="s">
        <v>148</v>
      </c>
      <c r="B145" s="95" t="s">
        <v>68</v>
      </c>
      <c r="F145" s="109">
        <f t="shared" ref="F145:K145" si="18">F82</f>
        <v>24</v>
      </c>
      <c r="G145" s="109">
        <f t="shared" si="18"/>
        <v>1092</v>
      </c>
      <c r="H145" s="217">
        <f t="shared" si="18"/>
        <v>27916.6</v>
      </c>
      <c r="I145" s="217">
        <f t="shared" si="18"/>
        <v>0</v>
      </c>
      <c r="J145" s="217">
        <f t="shared" si="18"/>
        <v>0</v>
      </c>
      <c r="K145" s="217">
        <f t="shared" si="18"/>
        <v>27916.6</v>
      </c>
    </row>
    <row r="146" spans="1:11" ht="18" customHeight="1" x14ac:dyDescent="0.4">
      <c r="A146" s="1" t="s">
        <v>150</v>
      </c>
      <c r="B146" s="95" t="s">
        <v>69</v>
      </c>
      <c r="F146" s="109">
        <f t="shared" ref="F146:K146" si="19">F98</f>
        <v>3520</v>
      </c>
      <c r="G146" s="109">
        <f t="shared" si="19"/>
        <v>2769</v>
      </c>
      <c r="H146" s="217">
        <f t="shared" si="19"/>
        <v>181925.05900000001</v>
      </c>
      <c r="I146" s="217">
        <f t="shared" si="19"/>
        <v>116432.03776000001</v>
      </c>
      <c r="J146" s="217">
        <f t="shared" si="19"/>
        <v>0</v>
      </c>
      <c r="K146" s="217">
        <f t="shared" si="19"/>
        <v>298357.09675999999</v>
      </c>
    </row>
    <row r="147" spans="1:11" ht="18" customHeight="1" x14ac:dyDescent="0.4">
      <c r="A147" s="1" t="s">
        <v>153</v>
      </c>
      <c r="B147" s="95" t="s">
        <v>61</v>
      </c>
      <c r="F147" s="310">
        <f t="shared" ref="F147:K147" si="20">F108</f>
        <v>738</v>
      </c>
      <c r="G147" s="310">
        <f t="shared" si="20"/>
        <v>0</v>
      </c>
      <c r="H147" s="351">
        <f t="shared" si="20"/>
        <v>73496.599999999991</v>
      </c>
      <c r="I147" s="351">
        <f t="shared" si="20"/>
        <v>47037.823999999993</v>
      </c>
      <c r="J147" s="351">
        <f t="shared" si="20"/>
        <v>0</v>
      </c>
      <c r="K147" s="351">
        <f t="shared" si="20"/>
        <v>120534.42399999998</v>
      </c>
    </row>
    <row r="148" spans="1:11" ht="18" customHeight="1" x14ac:dyDescent="0.4">
      <c r="A148" s="1" t="s">
        <v>155</v>
      </c>
      <c r="B148" s="95" t="s">
        <v>70</v>
      </c>
      <c r="F148" s="110" t="s">
        <v>73</v>
      </c>
      <c r="G148" s="110" t="s">
        <v>73</v>
      </c>
      <c r="H148" s="111" t="s">
        <v>73</v>
      </c>
      <c r="I148" s="111" t="s">
        <v>73</v>
      </c>
      <c r="J148" s="111" t="s">
        <v>73</v>
      </c>
      <c r="K148" s="106">
        <f>F111</f>
        <v>3763000</v>
      </c>
    </row>
    <row r="149" spans="1:11" ht="18" customHeight="1" x14ac:dyDescent="0.4">
      <c r="A149" s="1" t="s">
        <v>163</v>
      </c>
      <c r="B149" s="95" t="s">
        <v>71</v>
      </c>
      <c r="F149" s="310">
        <f t="shared" ref="F149:K149" si="21">F137</f>
        <v>0</v>
      </c>
      <c r="G149" s="310">
        <f t="shared" si="21"/>
        <v>0</v>
      </c>
      <c r="H149" s="351">
        <f t="shared" si="21"/>
        <v>0</v>
      </c>
      <c r="I149" s="351">
        <f t="shared" si="21"/>
        <v>0</v>
      </c>
      <c r="J149" s="351">
        <f t="shared" si="21"/>
        <v>0</v>
      </c>
      <c r="K149" s="351">
        <f t="shared" si="21"/>
        <v>0</v>
      </c>
    </row>
    <row r="150" spans="1:11" ht="18" customHeight="1" x14ac:dyDescent="0.4">
      <c r="A150" s="1" t="s">
        <v>185</v>
      </c>
      <c r="B150" s="95" t="s">
        <v>186</v>
      </c>
      <c r="F150" s="110" t="s">
        <v>73</v>
      </c>
      <c r="G150" s="110" t="s">
        <v>73</v>
      </c>
      <c r="H150" s="351">
        <f>H18</f>
        <v>4122514.94</v>
      </c>
      <c r="I150" s="351">
        <f>I18</f>
        <v>0</v>
      </c>
      <c r="J150" s="351">
        <f>J18</f>
        <v>3416617.34</v>
      </c>
      <c r="K150" s="351">
        <f>K18</f>
        <v>705897.60000000009</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108660.4</v>
      </c>
      <c r="G152" s="114">
        <f t="shared" si="22"/>
        <v>25417.5</v>
      </c>
      <c r="H152" s="417">
        <f t="shared" si="22"/>
        <v>31191210.665666673</v>
      </c>
      <c r="I152" s="417">
        <f t="shared" si="22"/>
        <v>766085.69856000005</v>
      </c>
      <c r="J152" s="417">
        <f t="shared" si="22"/>
        <v>6073406.0099999998</v>
      </c>
      <c r="K152" s="417">
        <f t="shared" si="22"/>
        <v>29646890.354226664</v>
      </c>
    </row>
    <row r="154" spans="1:11" ht="18" customHeight="1" x14ac:dyDescent="0.4">
      <c r="A154" s="98" t="s">
        <v>168</v>
      </c>
      <c r="B154" s="95" t="s">
        <v>28</v>
      </c>
      <c r="F154" s="318">
        <f>K152/F121</f>
        <v>0.1276656074300421</v>
      </c>
    </row>
    <row r="155" spans="1:11" ht="18" customHeight="1" x14ac:dyDescent="0.4">
      <c r="A155" s="98" t="s">
        <v>169</v>
      </c>
      <c r="B155" s="95" t="s">
        <v>72</v>
      </c>
      <c r="F155" s="318">
        <f>K152/F127</f>
        <v>-4.0210077789538401</v>
      </c>
      <c r="G155" s="95"/>
    </row>
    <row r="156" spans="1:11" ht="18" customHeight="1" x14ac:dyDescent="0.4">
      <c r="G156" s="95"/>
    </row>
  </sheetData>
  <mergeCells count="34">
    <mergeCell ref="B103:C103"/>
    <mergeCell ref="D2:H2"/>
    <mergeCell ref="B134:D134"/>
    <mergeCell ref="B135:D135"/>
    <mergeCell ref="B133:D133"/>
    <mergeCell ref="B104:D104"/>
    <mergeCell ref="B105:D105"/>
    <mergeCell ref="B106:D106"/>
    <mergeCell ref="B96:D96"/>
    <mergeCell ref="B95:D95"/>
    <mergeCell ref="B57:D57"/>
    <mergeCell ref="B94:D94"/>
    <mergeCell ref="B52:C52"/>
    <mergeCell ref="B90:C90"/>
    <mergeCell ref="B53:D53"/>
    <mergeCell ref="B55:D55"/>
    <mergeCell ref="B56:D56"/>
    <mergeCell ref="B59:D59"/>
    <mergeCell ref="B62:D62"/>
    <mergeCell ref="B45:D45"/>
    <mergeCell ref="B46:D46"/>
    <mergeCell ref="B47:D47"/>
    <mergeCell ref="B34:D34"/>
    <mergeCell ref="C11:G11"/>
    <mergeCell ref="B41:C41"/>
    <mergeCell ref="B44:D44"/>
    <mergeCell ref="B13:H13"/>
    <mergeCell ref="B30:D30"/>
    <mergeCell ref="B31:D31"/>
    <mergeCell ref="C5:G5"/>
    <mergeCell ref="C6:G6"/>
    <mergeCell ref="C7:G7"/>
    <mergeCell ref="C9:G9"/>
    <mergeCell ref="C10:G10"/>
  </mergeCells>
  <hyperlinks>
    <hyperlink ref="C11" r:id="rId1" xr:uid="{E368AC0B-96DE-420C-BCE8-A86D916A15CB}"/>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1"/>
  <dimension ref="A1:K156"/>
  <sheetViews>
    <sheetView topLeftCell="A133" zoomScale="80" zoomScaleNormal="80" zoomScaleSheetLayoutView="70" workbookViewId="0">
      <selection activeCell="E111" sqref="E111"/>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503</v>
      </c>
      <c r="D5" s="666"/>
      <c r="E5" s="666"/>
      <c r="F5" s="666"/>
      <c r="G5" s="667"/>
    </row>
    <row r="6" spans="1:11" ht="18" customHeight="1" x14ac:dyDescent="0.4">
      <c r="B6" s="1" t="s">
        <v>3</v>
      </c>
      <c r="C6" s="668">
        <v>2100039</v>
      </c>
      <c r="D6" s="669"/>
      <c r="E6" s="669"/>
      <c r="F6" s="669"/>
      <c r="G6" s="670"/>
    </row>
    <row r="7" spans="1:11" ht="18" customHeight="1" x14ac:dyDescent="0.4">
      <c r="B7" s="1" t="s">
        <v>4</v>
      </c>
      <c r="C7" s="689"/>
      <c r="D7" s="690"/>
      <c r="E7" s="690"/>
      <c r="F7" s="690"/>
      <c r="G7" s="691"/>
    </row>
    <row r="9" spans="1:11" ht="18" customHeight="1" x14ac:dyDescent="0.4">
      <c r="B9" s="1" t="s">
        <v>1</v>
      </c>
      <c r="C9" s="663"/>
      <c r="D9" s="666"/>
      <c r="E9" s="666"/>
      <c r="F9" s="666"/>
      <c r="G9" s="667"/>
    </row>
    <row r="10" spans="1:11" ht="18" customHeight="1" x14ac:dyDescent="0.4">
      <c r="B10" s="1" t="s">
        <v>2</v>
      </c>
      <c r="C10" s="660"/>
      <c r="D10" s="661"/>
      <c r="E10" s="661"/>
      <c r="F10" s="661"/>
      <c r="G10" s="662"/>
    </row>
    <row r="11" spans="1:11" ht="18" customHeight="1" x14ac:dyDescent="0.4">
      <c r="B11" s="1" t="s">
        <v>32</v>
      </c>
      <c r="C11" s="663"/>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2852345.88</v>
      </c>
      <c r="I18" s="115">
        <v>0</v>
      </c>
      <c r="J18" s="307">
        <v>2363939.13</v>
      </c>
      <c r="K18" s="308">
        <f>(H18+I18)-J18</f>
        <v>488406.75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1610</v>
      </c>
      <c r="G21" s="306">
        <v>2720</v>
      </c>
      <c r="H21" s="307">
        <v>329390</v>
      </c>
      <c r="I21" s="115">
        <f t="shared" ref="I21:I34" si="0">H21*F$114</f>
        <v>270429.19</v>
      </c>
      <c r="J21" s="307">
        <v>13465</v>
      </c>
      <c r="K21" s="308">
        <f t="shared" ref="K21:K34" si="1">(H21+I21)-J21</f>
        <v>586354.18999999994</v>
      </c>
    </row>
    <row r="22" spans="1:11" ht="18" customHeight="1" x14ac:dyDescent="0.4">
      <c r="A22" s="1" t="s">
        <v>76</v>
      </c>
      <c r="B22" t="s">
        <v>6</v>
      </c>
      <c r="F22" s="306">
        <v>125</v>
      </c>
      <c r="G22" s="306">
        <v>377</v>
      </c>
      <c r="H22" s="307">
        <v>5291</v>
      </c>
      <c r="I22" s="115">
        <f t="shared" si="0"/>
        <v>4343.9110000000001</v>
      </c>
      <c r="J22" s="307"/>
      <c r="K22" s="308">
        <f t="shared" si="1"/>
        <v>9634.9110000000001</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124</v>
      </c>
      <c r="G24" s="306">
        <v>286</v>
      </c>
      <c r="H24" s="307">
        <v>7157</v>
      </c>
      <c r="I24" s="115">
        <f t="shared" si="0"/>
        <v>5875.8969999999999</v>
      </c>
      <c r="J24" s="307">
        <v>13033</v>
      </c>
      <c r="K24" s="308">
        <f t="shared" si="1"/>
        <v>-0.10299999999915599</v>
      </c>
    </row>
    <row r="25" spans="1:11" ht="18" customHeight="1" x14ac:dyDescent="0.4">
      <c r="A25" s="1" t="s">
        <v>79</v>
      </c>
      <c r="B25" t="s">
        <v>5</v>
      </c>
      <c r="F25" s="306">
        <v>60</v>
      </c>
      <c r="G25" s="306">
        <v>60</v>
      </c>
      <c r="H25" s="307">
        <v>2708</v>
      </c>
      <c r="I25" s="115">
        <f t="shared" si="0"/>
        <v>2223.268</v>
      </c>
      <c r="J25" s="307"/>
      <c r="K25" s="308">
        <f t="shared" si="1"/>
        <v>4931.268</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v>301</v>
      </c>
      <c r="G28" s="306">
        <v>467</v>
      </c>
      <c r="H28" s="307">
        <v>16863</v>
      </c>
      <c r="I28" s="115">
        <f t="shared" si="0"/>
        <v>13844.522999999999</v>
      </c>
      <c r="J28" s="307">
        <v>785</v>
      </c>
      <c r="K28" s="308">
        <f t="shared" si="1"/>
        <v>29922.523000000001</v>
      </c>
    </row>
    <row r="29" spans="1:11" ht="18" customHeight="1" x14ac:dyDescent="0.4">
      <c r="A29" s="1" t="s">
        <v>83</v>
      </c>
      <c r="B29" t="s">
        <v>48</v>
      </c>
      <c r="F29" s="306">
        <v>320</v>
      </c>
      <c r="G29" s="306">
        <v>89833</v>
      </c>
      <c r="H29" s="307">
        <v>224969</v>
      </c>
      <c r="I29" s="115">
        <f t="shared" si="0"/>
        <v>184699.549</v>
      </c>
      <c r="J29" s="307"/>
      <c r="K29" s="308">
        <f t="shared" si="1"/>
        <v>409668.549</v>
      </c>
    </row>
    <row r="30" spans="1:11" ht="18" customHeight="1" x14ac:dyDescent="0.4">
      <c r="A30" s="1" t="s">
        <v>84</v>
      </c>
      <c r="B30" s="630" t="s">
        <v>796</v>
      </c>
      <c r="C30" s="631"/>
      <c r="D30" s="632"/>
      <c r="F30" s="306">
        <v>1366</v>
      </c>
      <c r="G30" s="306">
        <v>2844</v>
      </c>
      <c r="H30" s="307">
        <v>53528</v>
      </c>
      <c r="I30" s="115">
        <f t="shared" si="0"/>
        <v>43946.487999999998</v>
      </c>
      <c r="J30" s="307"/>
      <c r="K30" s="308">
        <f t="shared" si="1"/>
        <v>97474.487999999998</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3906</v>
      </c>
      <c r="G36" s="310">
        <f t="shared" si="2"/>
        <v>96587</v>
      </c>
      <c r="H36" s="310">
        <f t="shared" si="2"/>
        <v>639906</v>
      </c>
      <c r="I36" s="308">
        <f t="shared" si="2"/>
        <v>525362.826</v>
      </c>
      <c r="J36" s="308">
        <f t="shared" si="2"/>
        <v>27283</v>
      </c>
      <c r="K36" s="308">
        <f t="shared" si="2"/>
        <v>1137985.8259999999</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v>7611</v>
      </c>
      <c r="G42" s="306">
        <v>119</v>
      </c>
      <c r="H42" s="307">
        <v>292584</v>
      </c>
      <c r="I42" s="115">
        <v>100441</v>
      </c>
      <c r="J42" s="307"/>
      <c r="K42" s="308">
        <f>(H42+I42)-J42</f>
        <v>393025</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t="s">
        <v>797</v>
      </c>
      <c r="C44" s="631"/>
      <c r="D44" s="632"/>
      <c r="F44" s="311">
        <v>80</v>
      </c>
      <c r="G44" s="311">
        <v>20</v>
      </c>
      <c r="H44" s="311">
        <v>4563</v>
      </c>
      <c r="I44" s="116">
        <v>1565</v>
      </c>
      <c r="J44" s="311"/>
      <c r="K44" s="353">
        <f>(H44+I44)-J44</f>
        <v>6128</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7691</v>
      </c>
      <c r="G49" s="312">
        <f t="shared" si="4"/>
        <v>139</v>
      </c>
      <c r="H49" s="308">
        <f t="shared" si="4"/>
        <v>297147</v>
      </c>
      <c r="I49" s="308">
        <f t="shared" si="4"/>
        <v>102006</v>
      </c>
      <c r="J49" s="308">
        <f t="shared" si="4"/>
        <v>0</v>
      </c>
      <c r="K49" s="308">
        <f t="shared" si="4"/>
        <v>399153</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635</v>
      </c>
      <c r="C53" s="659"/>
      <c r="D53" s="654"/>
      <c r="F53" s="306">
        <v>56561</v>
      </c>
      <c r="G53" s="306">
        <v>22837</v>
      </c>
      <c r="H53" s="307">
        <v>2548126</v>
      </c>
      <c r="I53" s="115">
        <v>874007</v>
      </c>
      <c r="J53" s="307">
        <v>1862417</v>
      </c>
      <c r="K53" s="308">
        <f t="shared" ref="K53:K62" si="5">(H53+I53)-J53</f>
        <v>1559716</v>
      </c>
    </row>
    <row r="54" spans="1:11" ht="18" customHeight="1" x14ac:dyDescent="0.4">
      <c r="A54" s="1" t="s">
        <v>93</v>
      </c>
      <c r="B54" s="400" t="s">
        <v>636</v>
      </c>
      <c r="C54" s="401"/>
      <c r="D54" s="402"/>
      <c r="F54" s="306">
        <v>7102</v>
      </c>
      <c r="G54" s="306">
        <v>0</v>
      </c>
      <c r="H54" s="307">
        <v>2221621</v>
      </c>
      <c r="I54" s="115">
        <v>1222832</v>
      </c>
      <c r="J54" s="307">
        <v>0</v>
      </c>
      <c r="K54" s="308">
        <f t="shared" si="5"/>
        <v>3444453</v>
      </c>
    </row>
    <row r="55" spans="1:11" ht="18" customHeight="1" x14ac:dyDescent="0.4">
      <c r="A55" s="1" t="s">
        <v>94</v>
      </c>
      <c r="B55" s="400" t="s">
        <v>798</v>
      </c>
      <c r="C55" s="401"/>
      <c r="D55" s="402"/>
      <c r="F55" s="306">
        <v>0</v>
      </c>
      <c r="G55" s="306">
        <v>0</v>
      </c>
      <c r="H55" s="307">
        <v>1946332</v>
      </c>
      <c r="I55" s="115">
        <v>1319613</v>
      </c>
      <c r="J55" s="307">
        <v>0</v>
      </c>
      <c r="K55" s="308">
        <f t="shared" si="5"/>
        <v>3265945</v>
      </c>
    </row>
    <row r="56" spans="1:11" ht="18" customHeight="1" x14ac:dyDescent="0.4">
      <c r="A56" s="1" t="s">
        <v>95</v>
      </c>
      <c r="B56" s="400" t="s">
        <v>637</v>
      </c>
      <c r="C56" s="401"/>
      <c r="D56" s="402"/>
      <c r="F56" s="306">
        <v>0</v>
      </c>
      <c r="G56" s="306">
        <v>0</v>
      </c>
      <c r="H56" s="307">
        <v>607995</v>
      </c>
      <c r="I56" s="115">
        <v>412221</v>
      </c>
      <c r="J56" s="307">
        <v>0</v>
      </c>
      <c r="K56" s="308">
        <f t="shared" si="5"/>
        <v>1020216</v>
      </c>
    </row>
    <row r="57" spans="1:11" ht="18" customHeight="1" x14ac:dyDescent="0.4">
      <c r="A57" s="1" t="s">
        <v>96</v>
      </c>
      <c r="B57" s="400" t="s">
        <v>638</v>
      </c>
      <c r="C57" s="401"/>
      <c r="D57" s="402"/>
      <c r="F57" s="306">
        <v>0</v>
      </c>
      <c r="G57" s="306">
        <v>0</v>
      </c>
      <c r="H57" s="307">
        <v>2235645</v>
      </c>
      <c r="I57" s="115">
        <v>766826</v>
      </c>
      <c r="J57" s="307">
        <v>0</v>
      </c>
      <c r="K57" s="308">
        <f t="shared" si="5"/>
        <v>3002471</v>
      </c>
    </row>
    <row r="58" spans="1:11" ht="18" customHeight="1" x14ac:dyDescent="0.4">
      <c r="A58" s="1" t="s">
        <v>97</v>
      </c>
      <c r="B58" s="400" t="s">
        <v>799</v>
      </c>
      <c r="C58" s="401"/>
      <c r="D58" s="402"/>
      <c r="F58" s="306">
        <v>0</v>
      </c>
      <c r="G58" s="306">
        <v>0</v>
      </c>
      <c r="H58" s="307">
        <v>933828</v>
      </c>
      <c r="I58" s="115">
        <v>319069</v>
      </c>
      <c r="J58" s="307">
        <v>198963</v>
      </c>
      <c r="K58" s="308">
        <f t="shared" si="5"/>
        <v>1053934</v>
      </c>
    </row>
    <row r="59" spans="1:11" ht="18" customHeight="1" x14ac:dyDescent="0.4">
      <c r="A59" s="1" t="s">
        <v>98</v>
      </c>
      <c r="B59" s="400"/>
      <c r="C59" s="401"/>
      <c r="D59" s="402"/>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400"/>
      <c r="C62" s="401"/>
      <c r="D62" s="402"/>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63663</v>
      </c>
      <c r="G64" s="310">
        <f t="shared" si="6"/>
        <v>22837</v>
      </c>
      <c r="H64" s="308">
        <f t="shared" si="6"/>
        <v>10493547</v>
      </c>
      <c r="I64" s="308">
        <f t="shared" si="6"/>
        <v>4914568</v>
      </c>
      <c r="J64" s="308">
        <f t="shared" si="6"/>
        <v>2061380</v>
      </c>
      <c r="K64" s="308">
        <f t="shared" si="6"/>
        <v>13346735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25345</v>
      </c>
      <c r="I77" s="115">
        <v>0</v>
      </c>
      <c r="J77" s="307"/>
      <c r="K77" s="308">
        <f>(H77+I77)-J77</f>
        <v>25345</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105</v>
      </c>
      <c r="G79" s="306">
        <v>436</v>
      </c>
      <c r="H79" s="307">
        <v>13269</v>
      </c>
      <c r="I79" s="115">
        <v>5527</v>
      </c>
      <c r="J79" s="307"/>
      <c r="K79" s="308">
        <f>(H79+I79)-J79</f>
        <v>18796</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105</v>
      </c>
      <c r="G82" s="411">
        <f t="shared" si="8"/>
        <v>436</v>
      </c>
      <c r="H82" s="308">
        <f t="shared" si="8"/>
        <v>38614</v>
      </c>
      <c r="I82" s="308">
        <f t="shared" si="8"/>
        <v>5527</v>
      </c>
      <c r="J82" s="308">
        <f t="shared" si="8"/>
        <v>0</v>
      </c>
      <c r="K82" s="308">
        <f t="shared" si="8"/>
        <v>44141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v>239</v>
      </c>
      <c r="G88" s="306">
        <v>648</v>
      </c>
      <c r="H88" s="307">
        <v>12331</v>
      </c>
      <c r="I88" s="115">
        <f>H88*F$114</f>
        <v>10123.751</v>
      </c>
      <c r="J88" s="307"/>
      <c r="K88" s="308">
        <f t="shared" si="10"/>
        <v>22454.751</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v>78</v>
      </c>
      <c r="G90" s="306"/>
      <c r="H90" s="307">
        <v>14602</v>
      </c>
      <c r="I90" s="115">
        <f t="shared" si="9"/>
        <v>11988.242</v>
      </c>
      <c r="J90" s="307"/>
      <c r="K90" s="308">
        <f t="shared" si="10"/>
        <v>26590.241999999998</v>
      </c>
    </row>
    <row r="91" spans="1:11" ht="18" customHeight="1" x14ac:dyDescent="0.4">
      <c r="A91" s="1" t="s">
        <v>119</v>
      </c>
      <c r="B91" s="94" t="s">
        <v>60</v>
      </c>
      <c r="F91" s="306">
        <v>740</v>
      </c>
      <c r="G91" s="306">
        <v>165</v>
      </c>
      <c r="H91" s="307">
        <v>33567</v>
      </c>
      <c r="I91" s="115">
        <f t="shared" si="9"/>
        <v>27558.506999999998</v>
      </c>
      <c r="J91" s="307"/>
      <c r="K91" s="308">
        <f t="shared" si="10"/>
        <v>61125.506999999998</v>
      </c>
    </row>
    <row r="92" spans="1:11" ht="18" customHeight="1" x14ac:dyDescent="0.4">
      <c r="A92" s="1" t="s">
        <v>120</v>
      </c>
      <c r="B92" s="94" t="s">
        <v>121</v>
      </c>
      <c r="F92" s="107">
        <v>941</v>
      </c>
      <c r="G92" s="107">
        <v>638</v>
      </c>
      <c r="H92" s="108">
        <v>57533</v>
      </c>
      <c r="I92" s="115">
        <f t="shared" si="9"/>
        <v>47234.593000000001</v>
      </c>
      <c r="J92" s="108"/>
      <c r="K92" s="308">
        <f t="shared" si="10"/>
        <v>104767.59299999999</v>
      </c>
    </row>
    <row r="93" spans="1:11" ht="18" customHeight="1" x14ac:dyDescent="0.4">
      <c r="A93" s="1" t="s">
        <v>122</v>
      </c>
      <c r="B93" s="94" t="s">
        <v>123</v>
      </c>
      <c r="F93" s="306">
        <v>4</v>
      </c>
      <c r="G93" s="306">
        <v>200</v>
      </c>
      <c r="H93" s="307">
        <v>200</v>
      </c>
      <c r="I93" s="115">
        <f t="shared" si="9"/>
        <v>164.2</v>
      </c>
      <c r="J93" s="307"/>
      <c r="K93" s="308">
        <f t="shared" si="10"/>
        <v>364.2</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2002</v>
      </c>
      <c r="G98" s="310">
        <f t="shared" si="11"/>
        <v>1651</v>
      </c>
      <c r="H98" s="310">
        <f t="shared" si="11"/>
        <v>118233</v>
      </c>
      <c r="I98" s="310">
        <f t="shared" si="11"/>
        <v>97069.292999999991</v>
      </c>
      <c r="J98" s="310">
        <f t="shared" si="11"/>
        <v>0</v>
      </c>
      <c r="K98" s="310">
        <f t="shared" si="11"/>
        <v>215302.29300000001</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160</v>
      </c>
      <c r="G102" s="306"/>
      <c r="H102" s="307">
        <v>7052</v>
      </c>
      <c r="I102" s="115">
        <f>H102*F$114</f>
        <v>5789.692</v>
      </c>
      <c r="J102" s="307"/>
      <c r="K102" s="308">
        <f>(H102+I102)-J102</f>
        <v>12841.691999999999</v>
      </c>
    </row>
    <row r="103" spans="1:11" ht="18" customHeight="1" x14ac:dyDescent="0.4">
      <c r="A103" s="1" t="s">
        <v>132</v>
      </c>
      <c r="B103" s="635" t="s">
        <v>62</v>
      </c>
      <c r="C103" s="635"/>
      <c r="F103" s="306">
        <v>2360</v>
      </c>
      <c r="G103" s="306">
        <v>92633</v>
      </c>
      <c r="H103" s="307">
        <v>130820</v>
      </c>
      <c r="I103" s="115">
        <f>H103*F$114</f>
        <v>107403.21999999999</v>
      </c>
      <c r="J103" s="307"/>
      <c r="K103" s="308">
        <f>(H103+I103)-J103</f>
        <v>238223.21999999997</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2520</v>
      </c>
      <c r="G108" s="310">
        <f t="shared" si="12"/>
        <v>92633</v>
      </c>
      <c r="H108" s="308">
        <f t="shared" si="12"/>
        <v>137872</v>
      </c>
      <c r="I108" s="308">
        <f t="shared" si="12"/>
        <v>113192.91199999998</v>
      </c>
      <c r="J108" s="308">
        <f t="shared" si="12"/>
        <v>0</v>
      </c>
      <c r="K108" s="308">
        <f t="shared" si="12"/>
        <v>251064.91199999998</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2087095.1700000002</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0.82099999999999995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135665635.01999998</v>
      </c>
    </row>
    <row r="118" spans="1:6" ht="18" customHeight="1" x14ac:dyDescent="0.4">
      <c r="A118" s="1" t="s">
        <v>173</v>
      </c>
      <c r="B118" t="s">
        <v>18</v>
      </c>
      <c r="F118" s="307">
        <v>6790744.0600000005</v>
      </c>
    </row>
    <row r="119" spans="1:6" ht="18" customHeight="1" x14ac:dyDescent="0.4">
      <c r="A119" s="1" t="s">
        <v>174</v>
      </c>
      <c r="B119" s="95" t="s">
        <v>19</v>
      </c>
      <c r="F119" s="308">
        <f>SUM(F117:F118)</f>
        <v>142456379.07999998</v>
      </c>
    </row>
    <row r="120" spans="1:6" ht="18" customHeight="1" x14ac:dyDescent="0.4">
      <c r="A120" s="1"/>
      <c r="B120" s="95"/>
    </row>
    <row r="121" spans="1:6" ht="18" customHeight="1" x14ac:dyDescent="0.4">
      <c r="A121" s="1" t="s">
        <v>167</v>
      </c>
      <c r="B121" s="95" t="s">
        <v>36</v>
      </c>
      <c r="F121" s="307">
        <v>137396209.96000001</v>
      </c>
    </row>
    <row r="122" spans="1:6" ht="18" customHeight="1" x14ac:dyDescent="0.4">
      <c r="A122" s="1"/>
    </row>
    <row r="123" spans="1:6" ht="18" customHeight="1" x14ac:dyDescent="0.4">
      <c r="A123" s="1" t="s">
        <v>175</v>
      </c>
      <c r="B123" s="95" t="s">
        <v>20</v>
      </c>
      <c r="F123" s="307">
        <f>+F119-F121</f>
        <v>5060169.119999975</v>
      </c>
    </row>
    <row r="124" spans="1:6" ht="18" customHeight="1" x14ac:dyDescent="0.4">
      <c r="A124" s="1"/>
    </row>
    <row r="125" spans="1:6" ht="18" customHeight="1" x14ac:dyDescent="0.4">
      <c r="A125" s="1" t="s">
        <v>176</v>
      </c>
      <c r="B125" s="95" t="s">
        <v>21</v>
      </c>
      <c r="F125" s="307">
        <v>553241.14</v>
      </c>
    </row>
    <row r="126" spans="1:6" ht="18" customHeight="1" x14ac:dyDescent="0.4">
      <c r="A126" s="1"/>
    </row>
    <row r="127" spans="1:6" ht="18" customHeight="1" x14ac:dyDescent="0.4">
      <c r="A127" s="1" t="s">
        <v>177</v>
      </c>
      <c r="B127" s="95" t="s">
        <v>22</v>
      </c>
      <c r="F127" s="307">
        <f>+F123+F125</f>
        <v>5613410.2599999746</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3906</v>
      </c>
      <c r="G141" s="109">
        <f t="shared" si="14"/>
        <v>96587</v>
      </c>
      <c r="H141" s="109">
        <f t="shared" si="14"/>
        <v>639906</v>
      </c>
      <c r="I141" s="109">
        <f t="shared" si="14"/>
        <v>525362.826</v>
      </c>
      <c r="J141" s="109">
        <f t="shared" si="14"/>
        <v>27283</v>
      </c>
      <c r="K141" s="109">
        <f t="shared" si="14"/>
        <v>1137985.8259999999</v>
      </c>
    </row>
    <row r="142" spans="1:11" ht="18" customHeight="1" x14ac:dyDescent="0.4">
      <c r="A142" s="1" t="s">
        <v>142</v>
      </c>
      <c r="B142" s="95" t="s">
        <v>65</v>
      </c>
      <c r="F142" s="109">
        <f t="shared" ref="F142:K142" si="15">F49</f>
        <v>7691</v>
      </c>
      <c r="G142" s="109">
        <f t="shared" si="15"/>
        <v>139</v>
      </c>
      <c r="H142" s="109">
        <f t="shared" si="15"/>
        <v>297147</v>
      </c>
      <c r="I142" s="109">
        <f t="shared" si="15"/>
        <v>102006</v>
      </c>
      <c r="J142" s="109">
        <f t="shared" si="15"/>
        <v>0</v>
      </c>
      <c r="K142" s="109">
        <f t="shared" si="15"/>
        <v>399153</v>
      </c>
    </row>
    <row r="143" spans="1:11" ht="18" customHeight="1" x14ac:dyDescent="0.4">
      <c r="A143" s="1" t="s">
        <v>144</v>
      </c>
      <c r="B143" s="95" t="s">
        <v>66</v>
      </c>
      <c r="F143" s="109">
        <f t="shared" ref="F143:K143" si="16">F64</f>
        <v>63663</v>
      </c>
      <c r="G143" s="109">
        <f t="shared" si="16"/>
        <v>22837</v>
      </c>
      <c r="H143" s="109">
        <f t="shared" si="16"/>
        <v>10493547</v>
      </c>
      <c r="I143" s="109">
        <f t="shared" si="16"/>
        <v>4914568</v>
      </c>
      <c r="J143" s="109">
        <f t="shared" si="16"/>
        <v>2061380</v>
      </c>
      <c r="K143" s="109">
        <f t="shared" si="16"/>
        <v>13346735</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105</v>
      </c>
      <c r="G145" s="109">
        <f t="shared" si="18"/>
        <v>436</v>
      </c>
      <c r="H145" s="109">
        <f t="shared" si="18"/>
        <v>38614</v>
      </c>
      <c r="I145" s="109">
        <f t="shared" si="18"/>
        <v>5527</v>
      </c>
      <c r="J145" s="109">
        <f t="shared" si="18"/>
        <v>0</v>
      </c>
      <c r="K145" s="109">
        <f t="shared" si="18"/>
        <v>44141</v>
      </c>
    </row>
    <row r="146" spans="1:11" ht="18" customHeight="1" x14ac:dyDescent="0.4">
      <c r="A146" s="1" t="s">
        <v>150</v>
      </c>
      <c r="B146" s="95" t="s">
        <v>69</v>
      </c>
      <c r="F146" s="109">
        <f t="shared" ref="F146:K146" si="19">F98</f>
        <v>2002</v>
      </c>
      <c r="G146" s="109">
        <f>G98</f>
        <v>1651</v>
      </c>
      <c r="H146" s="109">
        <f t="shared" si="19"/>
        <v>118233</v>
      </c>
      <c r="I146" s="109">
        <f t="shared" si="19"/>
        <v>97069.292999999991</v>
      </c>
      <c r="J146" s="109">
        <f t="shared" si="19"/>
        <v>0</v>
      </c>
      <c r="K146" s="109">
        <f t="shared" si="19"/>
        <v>215302.29300000001</v>
      </c>
    </row>
    <row r="147" spans="1:11" ht="18" customHeight="1" x14ac:dyDescent="0.4">
      <c r="A147" s="1" t="s">
        <v>153</v>
      </c>
      <c r="B147" s="95" t="s">
        <v>61</v>
      </c>
      <c r="F147" s="310">
        <f t="shared" ref="F147:K147" si="20">F108</f>
        <v>2520</v>
      </c>
      <c r="G147" s="310">
        <f t="shared" si="20"/>
        <v>92633</v>
      </c>
      <c r="H147" s="310">
        <f t="shared" si="20"/>
        <v>137872</v>
      </c>
      <c r="I147" s="310">
        <f t="shared" si="20"/>
        <v>113192.91199999998</v>
      </c>
      <c r="J147" s="310">
        <f t="shared" si="20"/>
        <v>0</v>
      </c>
      <c r="K147" s="310">
        <f t="shared" si="20"/>
        <v>251064.91199999998</v>
      </c>
    </row>
    <row r="148" spans="1:11" ht="18" customHeight="1" x14ac:dyDescent="0.4">
      <c r="A148" s="1" t="s">
        <v>155</v>
      </c>
      <c r="B148" s="95" t="s">
        <v>70</v>
      </c>
      <c r="F148" s="110" t="s">
        <v>73</v>
      </c>
      <c r="G148" s="110" t="s">
        <v>73</v>
      </c>
      <c r="H148" s="111" t="s">
        <v>73</v>
      </c>
      <c r="I148" s="111" t="s">
        <v>73</v>
      </c>
      <c r="J148" s="111" t="s">
        <v>73</v>
      </c>
      <c r="K148" s="106">
        <f>F111</f>
        <v>2087095.1700000002</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2852345.88</v>
      </c>
      <c r="I150" s="310">
        <f>I18</f>
        <v>0</v>
      </c>
      <c r="J150" s="310">
        <f>J18</f>
        <v>2363939.13</v>
      </c>
      <c r="K150" s="310">
        <f>K18</f>
        <v>488406.75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79887</v>
      </c>
      <c r="G152" s="114">
        <f t="shared" si="22"/>
        <v>214283</v>
      </c>
      <c r="H152" s="114">
        <f t="shared" si="22"/>
        <v>14577664.879999999</v>
      </c>
      <c r="I152" s="114">
        <f t="shared" si="22"/>
        <v>5757726.0309999995</v>
      </c>
      <c r="J152" s="114">
        <f t="shared" si="22"/>
        <v>4452602.13</v>
      </c>
      <c r="K152" s="114">
        <f t="shared" si="22"/>
        <v>17969883.951000001</v>
      </c>
    </row>
    <row r="154" spans="1:11" ht="18" customHeight="1" x14ac:dyDescent="0.4">
      <c r="A154" s="98" t="s">
        <v>168</v>
      </c>
      <c r="B154" s="95" t="s">
        <v>28</v>
      </c>
      <c r="F154" s="318">
        <f>K152/F121</f>
        <v>0.13078878927032669</v>
      </c>
    </row>
    <row r="155" spans="1:11" ht="18" customHeight="1" x14ac:dyDescent="0.4">
      <c r="A155" s="98" t="s">
        <v>169</v>
      </c>
      <c r="B155" s="95" t="s">
        <v>72</v>
      </c>
      <c r="F155" s="318">
        <f>K152/F127</f>
        <v>3.2012418687887036</v>
      </c>
      <c r="G155" s="95"/>
    </row>
    <row r="156" spans="1:11" ht="18" customHeight="1" x14ac:dyDescent="0.4">
      <c r="G156" s="95"/>
    </row>
  </sheetData>
  <mergeCells count="29">
    <mergeCell ref="B135:D135"/>
    <mergeCell ref="B133:D133"/>
    <mergeCell ref="B104:D104"/>
    <mergeCell ref="B105:D105"/>
    <mergeCell ref="B106:D106"/>
    <mergeCell ref="B134:D134"/>
    <mergeCell ref="C10:G10"/>
    <mergeCell ref="B52:C52"/>
    <mergeCell ref="B90:C90"/>
    <mergeCell ref="B53:D53"/>
    <mergeCell ref="B34:D34"/>
    <mergeCell ref="C11:G11"/>
    <mergeCell ref="B41:C41"/>
    <mergeCell ref="B44:D44"/>
    <mergeCell ref="B13:H13"/>
    <mergeCell ref="B30:D30"/>
    <mergeCell ref="B31:D31"/>
    <mergeCell ref="D2:H2"/>
    <mergeCell ref="C5:G5"/>
    <mergeCell ref="C6:G6"/>
    <mergeCell ref="C7:G7"/>
    <mergeCell ref="C9:G9"/>
    <mergeCell ref="B103:C103"/>
    <mergeCell ref="B96:D96"/>
    <mergeCell ref="B95:D95"/>
    <mergeCell ref="B94:D94"/>
    <mergeCell ref="B45:D45"/>
    <mergeCell ref="B46:D46"/>
    <mergeCell ref="B47:D47"/>
  </mergeCells>
  <printOptions horizontalCentered="1"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2"/>
  <dimension ref="A1:L156"/>
  <sheetViews>
    <sheetView showGridLines="0" topLeftCell="A133" zoomScale="85" zoomScaleNormal="85" zoomScaleSheetLayoutView="80" workbookViewId="0">
      <selection activeCell="M16" sqref="M16"/>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800</v>
      </c>
      <c r="D5" s="666"/>
      <c r="E5" s="666"/>
      <c r="F5" s="666"/>
      <c r="G5" s="667"/>
    </row>
    <row r="6" spans="1:11" ht="18" customHeight="1" x14ac:dyDescent="0.4">
      <c r="B6" s="1" t="s">
        <v>3</v>
      </c>
      <c r="C6" s="668">
        <v>40</v>
      </c>
      <c r="D6" s="669"/>
      <c r="E6" s="669"/>
      <c r="F6" s="669"/>
      <c r="G6" s="670"/>
    </row>
    <row r="7" spans="1:11" ht="18" customHeight="1" x14ac:dyDescent="0.4">
      <c r="B7" s="1" t="s">
        <v>4</v>
      </c>
      <c r="C7" s="689">
        <v>1623</v>
      </c>
      <c r="D7" s="690"/>
      <c r="E7" s="690"/>
      <c r="F7" s="690"/>
      <c r="G7" s="691"/>
    </row>
    <row r="9" spans="1:11" ht="18" customHeight="1" x14ac:dyDescent="0.4">
      <c r="B9" s="1" t="s">
        <v>1</v>
      </c>
      <c r="C9" s="731" t="s">
        <v>292</v>
      </c>
      <c r="D9" s="666"/>
      <c r="E9" s="666"/>
      <c r="F9" s="666"/>
      <c r="G9" s="667"/>
    </row>
    <row r="10" spans="1:11" ht="18" customHeight="1" x14ac:dyDescent="0.4">
      <c r="B10" s="1" t="s">
        <v>2</v>
      </c>
      <c r="C10" s="733" t="s">
        <v>293</v>
      </c>
      <c r="D10" s="661"/>
      <c r="E10" s="661"/>
      <c r="F10" s="661"/>
      <c r="G10" s="662"/>
    </row>
    <row r="11" spans="1:11" ht="18" customHeight="1" x14ac:dyDescent="0.4">
      <c r="B11" s="1" t="s">
        <v>32</v>
      </c>
      <c r="C11" s="682" t="s">
        <v>294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5061153.83</v>
      </c>
      <c r="I18" s="115">
        <v>0</v>
      </c>
      <c r="J18" s="307">
        <v>4194533.24</v>
      </c>
      <c r="K18" s="308">
        <f>(H18+I18)-J18</f>
        <v>866620.58999999985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616</v>
      </c>
      <c r="G21" s="306">
        <v>900</v>
      </c>
      <c r="H21" s="307">
        <v>17201</v>
      </c>
      <c r="I21" s="115">
        <f t="shared" ref="I21:I34" si="0">H21*F$114</f>
        <v>14763.618299999998</v>
      </c>
      <c r="J21" s="307"/>
      <c r="K21" s="308">
        <f t="shared" ref="K21:K34" si="1">(H21+I21)-J21</f>
        <v>31964.618299999998</v>
      </c>
    </row>
    <row r="22" spans="1:11" ht="18" customHeight="1" x14ac:dyDescent="0.4">
      <c r="A22" s="1" t="s">
        <v>76</v>
      </c>
      <c r="B22" t="s">
        <v>6</v>
      </c>
      <c r="F22" s="306"/>
      <c r="G22" s="306"/>
      <c r="H22" s="307"/>
      <c r="I22" s="115">
        <f t="shared" si="0"/>
        <v>0</v>
      </c>
      <c r="J22" s="307"/>
      <c r="K22" s="308">
        <f t="shared" si="1"/>
        <v>0</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28</v>
      </c>
      <c r="G24" s="306">
        <v>110</v>
      </c>
      <c r="H24" s="307">
        <v>1017</v>
      </c>
      <c r="I24" s="115">
        <f t="shared" si="0"/>
        <v>872.89109999999994</v>
      </c>
      <c r="J24" s="307"/>
      <c r="K24" s="308">
        <f t="shared" si="1"/>
        <v>1889.8910999999998</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18486</v>
      </c>
      <c r="G29" s="306">
        <v>20</v>
      </c>
      <c r="H29" s="307">
        <v>1636229</v>
      </c>
      <c r="I29" s="115">
        <f t="shared" si="0"/>
        <v>1404375.3506999998</v>
      </c>
      <c r="J29" s="307">
        <v>1121538</v>
      </c>
      <c r="K29" s="308">
        <f t="shared" si="1"/>
        <v>1919066.3506999998</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2" ht="18" customHeight="1" x14ac:dyDescent="0.4">
      <c r="A33" s="1" t="s">
        <v>135</v>
      </c>
      <c r="B33" s="394"/>
      <c r="C33" s="395"/>
      <c r="D33" s="396"/>
      <c r="F33" s="306"/>
      <c r="G33" s="309" t="s">
        <v>85</v>
      </c>
      <c r="H33" s="307"/>
      <c r="I33" s="115">
        <f t="shared" si="0"/>
        <v>0</v>
      </c>
      <c r="J33" s="307"/>
      <c r="K33" s="308">
        <f t="shared" si="1"/>
        <v>0</v>
      </c>
    </row>
    <row r="34" spans="1:12" ht="18" customHeight="1" x14ac:dyDescent="0.4">
      <c r="A34" s="1" t="s">
        <v>136</v>
      </c>
      <c r="B34" s="630"/>
      <c r="C34" s="631"/>
      <c r="D34" s="632"/>
      <c r="F34" s="306"/>
      <c r="G34" s="309" t="s">
        <v>85</v>
      </c>
      <c r="H34" s="307"/>
      <c r="I34" s="115">
        <f t="shared" si="0"/>
        <v>0</v>
      </c>
      <c r="J34" s="307"/>
      <c r="K34" s="308">
        <f t="shared" si="1"/>
        <v>0</v>
      </c>
    </row>
    <row r="35" spans="1:12" ht="18" customHeight="1" x14ac:dyDescent="0.4">
      <c r="K35" s="397"/>
    </row>
    <row r="36" spans="1:12" ht="18" customHeight="1" x14ac:dyDescent="0.4">
      <c r="A36" s="98" t="s">
        <v>137</v>
      </c>
      <c r="B36" s="95" t="s">
        <v>138</v>
      </c>
      <c r="E36" s="95" t="s">
        <v>7</v>
      </c>
      <c r="F36" s="310">
        <f t="shared" ref="F36:K36" si="2">SUM(F21:F34)</f>
        <v>19130</v>
      </c>
      <c r="G36" s="310">
        <f t="shared" si="2"/>
        <v>1030</v>
      </c>
      <c r="H36" s="310">
        <f t="shared" si="2"/>
        <v>1654447</v>
      </c>
      <c r="I36" s="308">
        <f t="shared" si="2"/>
        <v>1420011.8600999999</v>
      </c>
      <c r="J36" s="308">
        <f t="shared" si="2"/>
        <v>1121538</v>
      </c>
      <c r="K36" s="308">
        <f t="shared" si="2"/>
        <v>1952920.8600999999</v>
      </c>
      <c r="L36" t="s">
        <v>85</v>
      </c>
    </row>
    <row r="37" spans="1:12" ht="18" customHeight="1" thickBot="1" x14ac:dyDescent="0.45">
      <c r="B37" s="95"/>
      <c r="F37" s="398"/>
      <c r="G37" s="398"/>
      <c r="H37" s="399"/>
      <c r="I37" s="399"/>
      <c r="J37" s="399"/>
      <c r="K37" s="112"/>
    </row>
    <row r="38" spans="1:12" ht="42.75" customHeight="1" x14ac:dyDescent="0.4">
      <c r="B38" t="s">
        <v>85</v>
      </c>
      <c r="F38" s="99" t="s">
        <v>9</v>
      </c>
      <c r="G38" s="99" t="s">
        <v>37</v>
      </c>
      <c r="H38" s="99" t="s">
        <v>29</v>
      </c>
      <c r="I38" s="99" t="s">
        <v>30</v>
      </c>
      <c r="J38" s="99" t="s">
        <v>33</v>
      </c>
      <c r="K38" s="99" t="s">
        <v>34</v>
      </c>
    </row>
    <row r="39" spans="1:12" ht="18.75" customHeight="1" x14ac:dyDescent="0.4">
      <c r="A39" s="98" t="s">
        <v>86</v>
      </c>
      <c r="B39" s="95" t="s">
        <v>49</v>
      </c>
    </row>
    <row r="40" spans="1:12" ht="18" customHeight="1" x14ac:dyDescent="0.4">
      <c r="A40" s="1" t="s">
        <v>87</v>
      </c>
      <c r="B40" t="s">
        <v>31</v>
      </c>
      <c r="F40" s="306"/>
      <c r="G40" s="306"/>
      <c r="H40" s="307"/>
      <c r="I40" s="115">
        <v>0</v>
      </c>
      <c r="J40" s="307"/>
      <c r="K40" s="308">
        <f t="shared" ref="K40:K47" si="3">(H40+I40)-J40</f>
        <v>0</v>
      </c>
    </row>
    <row r="41" spans="1:12" ht="18" customHeight="1" x14ac:dyDescent="0.4">
      <c r="A41" s="1" t="s">
        <v>88</v>
      </c>
      <c r="B41" s="635" t="s">
        <v>50</v>
      </c>
      <c r="C41" s="636"/>
      <c r="F41" s="306">
        <v>0</v>
      </c>
      <c r="G41" s="306"/>
      <c r="H41" s="307">
        <v>15000</v>
      </c>
      <c r="I41" s="115">
        <f t="shared" ref="I41:I42" si="4">H41*F$114</f>
        <v>12874.5</v>
      </c>
      <c r="J41" s="307"/>
      <c r="K41" s="308">
        <f t="shared" si="3"/>
        <v>27874.5</v>
      </c>
    </row>
    <row r="42" spans="1:12" ht="18" customHeight="1" x14ac:dyDescent="0.4">
      <c r="A42" s="1" t="s">
        <v>89</v>
      </c>
      <c r="B42" s="94" t="s">
        <v>11</v>
      </c>
      <c r="F42" s="306">
        <f>360+2480+5060+3730</f>
        <v>11630</v>
      </c>
      <c r="G42" s="306"/>
      <c r="H42" s="307">
        <v>707291</v>
      </c>
      <c r="I42" s="115">
        <f t="shared" si="4"/>
        <v>607067.86529999995</v>
      </c>
      <c r="J42" s="307"/>
      <c r="K42" s="308">
        <f t="shared" si="3"/>
        <v>1314358.8652999999</v>
      </c>
    </row>
    <row r="43" spans="1:12" ht="18" customHeight="1" x14ac:dyDescent="0.4">
      <c r="A43" s="1" t="s">
        <v>90</v>
      </c>
      <c r="B43" s="94" t="s">
        <v>10</v>
      </c>
      <c r="F43" s="306"/>
      <c r="G43" s="306"/>
      <c r="H43" s="307"/>
      <c r="I43" s="115">
        <v>0</v>
      </c>
      <c r="J43" s="307"/>
      <c r="K43" s="308">
        <f t="shared" si="3"/>
        <v>0</v>
      </c>
    </row>
    <row r="44" spans="1:12" ht="18" customHeight="1" x14ac:dyDescent="0.4">
      <c r="A44" s="1" t="s">
        <v>91</v>
      </c>
      <c r="B44" s="630"/>
      <c r="C44" s="631"/>
      <c r="D44" s="632"/>
      <c r="F44" s="311"/>
      <c r="G44" s="311"/>
      <c r="H44" s="311"/>
      <c r="I44" s="116">
        <v>0</v>
      </c>
      <c r="J44" s="311"/>
      <c r="K44" s="353">
        <f t="shared" si="3"/>
        <v>0</v>
      </c>
    </row>
    <row r="45" spans="1:12" ht="18" customHeight="1" x14ac:dyDescent="0.4">
      <c r="A45" s="1" t="s">
        <v>139</v>
      </c>
      <c r="B45" s="630"/>
      <c r="C45" s="631"/>
      <c r="D45" s="632"/>
      <c r="F45" s="306"/>
      <c r="G45" s="306"/>
      <c r="H45" s="307"/>
      <c r="I45" s="115">
        <v>0</v>
      </c>
      <c r="J45" s="307"/>
      <c r="K45" s="308">
        <f t="shared" si="3"/>
        <v>0</v>
      </c>
    </row>
    <row r="46" spans="1:12" ht="18" customHeight="1" x14ac:dyDescent="0.4">
      <c r="A46" s="1" t="s">
        <v>140</v>
      </c>
      <c r="B46" s="630"/>
      <c r="C46" s="631"/>
      <c r="D46" s="632"/>
      <c r="F46" s="306"/>
      <c r="G46" s="306"/>
      <c r="H46" s="307"/>
      <c r="I46" s="115">
        <v>0</v>
      </c>
      <c r="J46" s="307"/>
      <c r="K46" s="308">
        <f t="shared" si="3"/>
        <v>0</v>
      </c>
    </row>
    <row r="47" spans="1:12"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5">SUM(F40:F47)</f>
        <v>11630</v>
      </c>
      <c r="G49" s="312">
        <f t="shared" si="5"/>
        <v>0</v>
      </c>
      <c r="H49" s="308">
        <f t="shared" si="5"/>
        <v>722291</v>
      </c>
      <c r="I49" s="308">
        <f t="shared" si="5"/>
        <v>619942.36529999995</v>
      </c>
      <c r="J49" s="308">
        <f t="shared" si="5"/>
        <v>0</v>
      </c>
      <c r="K49" s="308">
        <f t="shared" si="5"/>
        <v>1342233.3652999999</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443</v>
      </c>
      <c r="C53" s="659"/>
      <c r="D53" s="654"/>
      <c r="F53" s="306"/>
      <c r="G53" s="306"/>
      <c r="H53" s="307">
        <v>2014200</v>
      </c>
      <c r="I53" s="115">
        <v>0</v>
      </c>
      <c r="J53" s="307"/>
      <c r="K53" s="308">
        <f t="shared" ref="K53:K62" si="6">(H53+I53)-J53</f>
        <v>2014200</v>
      </c>
    </row>
    <row r="54" spans="1:11" ht="18" customHeight="1" x14ac:dyDescent="0.4">
      <c r="A54" s="1" t="s">
        <v>93</v>
      </c>
      <c r="B54" s="400" t="s">
        <v>464</v>
      </c>
      <c r="C54" s="401"/>
      <c r="D54" s="402"/>
      <c r="F54" s="306"/>
      <c r="G54" s="306"/>
      <c r="H54" s="307">
        <v>39750</v>
      </c>
      <c r="I54" s="115">
        <v>0</v>
      </c>
      <c r="J54" s="307"/>
      <c r="K54" s="308">
        <f t="shared" si="6"/>
        <v>39750</v>
      </c>
    </row>
    <row r="55" spans="1:11" ht="18" customHeight="1" x14ac:dyDescent="0.4">
      <c r="A55" s="1" t="s">
        <v>94</v>
      </c>
      <c r="B55" s="655" t="s">
        <v>313</v>
      </c>
      <c r="C55" s="653"/>
      <c r="D55" s="654"/>
      <c r="F55" s="306"/>
      <c r="G55" s="306"/>
      <c r="H55" s="307">
        <v>4521413</v>
      </c>
      <c r="I55" s="115">
        <f t="shared" ref="I55" si="7">H55*F$114</f>
        <v>3880728.7778999996</v>
      </c>
      <c r="J55" s="307">
        <v>2945400</v>
      </c>
      <c r="K55" s="308">
        <f t="shared" si="6"/>
        <v>5456741.7778999992</v>
      </c>
    </row>
    <row r="56" spans="1:11" ht="18" customHeight="1" x14ac:dyDescent="0.4">
      <c r="A56" s="1" t="s">
        <v>95</v>
      </c>
      <c r="B56" s="655" t="s">
        <v>307</v>
      </c>
      <c r="C56" s="653"/>
      <c r="D56" s="654"/>
      <c r="F56" s="306"/>
      <c r="G56" s="306"/>
      <c r="H56" s="307">
        <v>53345</v>
      </c>
      <c r="I56" s="115">
        <v>0</v>
      </c>
      <c r="J56" s="307"/>
      <c r="K56" s="308">
        <f t="shared" si="6"/>
        <v>53345</v>
      </c>
    </row>
    <row r="57" spans="1:11" ht="18" customHeight="1" x14ac:dyDescent="0.4">
      <c r="A57" s="1" t="s">
        <v>96</v>
      </c>
      <c r="B57" s="655" t="s">
        <v>801</v>
      </c>
      <c r="C57" s="653"/>
      <c r="D57" s="654"/>
      <c r="F57" s="306"/>
      <c r="G57" s="306"/>
      <c r="H57" s="307">
        <v>605072</v>
      </c>
      <c r="I57" s="115">
        <v>0</v>
      </c>
      <c r="J57" s="307"/>
      <c r="K57" s="308">
        <f t="shared" si="6"/>
        <v>605072</v>
      </c>
    </row>
    <row r="58" spans="1:11" ht="18" customHeight="1" x14ac:dyDescent="0.4">
      <c r="A58" s="1" t="s">
        <v>97</v>
      </c>
      <c r="B58" s="400"/>
      <c r="C58" s="401"/>
      <c r="D58" s="402"/>
      <c r="F58" s="306"/>
      <c r="G58" s="306"/>
      <c r="H58" s="307"/>
      <c r="I58" s="115">
        <v>0</v>
      </c>
      <c r="J58" s="307"/>
      <c r="K58" s="308">
        <f t="shared" si="6"/>
        <v>0</v>
      </c>
    </row>
    <row r="59" spans="1:11" ht="18" customHeight="1" x14ac:dyDescent="0.4">
      <c r="A59" s="1" t="s">
        <v>98</v>
      </c>
      <c r="B59" s="655"/>
      <c r="C59" s="653"/>
      <c r="D59" s="654"/>
      <c r="F59" s="306"/>
      <c r="G59" s="306"/>
      <c r="H59" s="307"/>
      <c r="I59" s="115">
        <v>0</v>
      </c>
      <c r="J59" s="307"/>
      <c r="K59" s="308">
        <f t="shared" si="6"/>
        <v>0</v>
      </c>
    </row>
    <row r="60" spans="1:11" ht="18" customHeight="1" x14ac:dyDescent="0.4">
      <c r="A60" s="1" t="s">
        <v>99</v>
      </c>
      <c r="B60" s="400"/>
      <c r="C60" s="401"/>
      <c r="D60" s="402"/>
      <c r="F60" s="306"/>
      <c r="G60" s="306"/>
      <c r="H60" s="307"/>
      <c r="I60" s="115">
        <v>0</v>
      </c>
      <c r="J60" s="307"/>
      <c r="K60" s="308">
        <f t="shared" si="6"/>
        <v>0</v>
      </c>
    </row>
    <row r="61" spans="1:11" ht="18" customHeight="1" x14ac:dyDescent="0.4">
      <c r="A61" s="1" t="s">
        <v>100</v>
      </c>
      <c r="B61" s="400"/>
      <c r="C61" s="401"/>
      <c r="D61" s="402"/>
      <c r="F61" s="306"/>
      <c r="G61" s="306"/>
      <c r="H61" s="307"/>
      <c r="I61" s="115">
        <v>0</v>
      </c>
      <c r="J61" s="307"/>
      <c r="K61" s="308">
        <f t="shared" si="6"/>
        <v>0</v>
      </c>
    </row>
    <row r="62" spans="1:11" ht="18" customHeight="1" x14ac:dyDescent="0.4">
      <c r="A62" s="1" t="s">
        <v>101</v>
      </c>
      <c r="B62" s="655"/>
      <c r="C62" s="653"/>
      <c r="D62" s="654"/>
      <c r="F62" s="306"/>
      <c r="G62" s="306"/>
      <c r="H62" s="307"/>
      <c r="I62" s="115">
        <v>0</v>
      </c>
      <c r="J62" s="307"/>
      <c r="K62" s="308">
        <f t="shared" si="6"/>
        <v>0</v>
      </c>
    </row>
    <row r="63" spans="1:11" ht="18" customHeight="1" x14ac:dyDescent="0.4">
      <c r="A63" s="1"/>
      <c r="I63" s="403"/>
    </row>
    <row r="64" spans="1:11" ht="18" customHeight="1" x14ac:dyDescent="0.4">
      <c r="A64" s="1" t="s">
        <v>144</v>
      </c>
      <c r="B64" s="95" t="s">
        <v>145</v>
      </c>
      <c r="E64" s="95" t="s">
        <v>7</v>
      </c>
      <c r="F64" s="310">
        <f t="shared" ref="F64:K64" si="8">SUM(F53:F62)</f>
        <v>0</v>
      </c>
      <c r="G64" s="310">
        <f t="shared" si="8"/>
        <v>0</v>
      </c>
      <c r="H64" s="308">
        <f t="shared" si="8"/>
        <v>7233780</v>
      </c>
      <c r="I64" s="308">
        <f t="shared" si="8"/>
        <v>3880728.7778999996</v>
      </c>
      <c r="J64" s="308">
        <f t="shared" si="8"/>
        <v>2945400</v>
      </c>
      <c r="K64" s="308">
        <f t="shared" si="8"/>
        <v>8169108.7778999992</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115">
        <v>117991</v>
      </c>
      <c r="I68" s="115">
        <f t="shared" ref="I68:I69" si="9">H68*F$114</f>
        <v>101271.67529999999</v>
      </c>
      <c r="J68" s="313"/>
      <c r="K68" s="308">
        <f>(H68+I68)-J68</f>
        <v>219262.6753</v>
      </c>
    </row>
    <row r="69" spans="1:11" ht="18" customHeight="1" x14ac:dyDescent="0.4">
      <c r="A69" s="1" t="s">
        <v>104</v>
      </c>
      <c r="B69" s="94" t="s">
        <v>53</v>
      </c>
      <c r="F69" s="313">
        <v>6216</v>
      </c>
      <c r="G69" s="313"/>
      <c r="H69" s="115">
        <v>317293</v>
      </c>
      <c r="I69" s="115">
        <f t="shared" si="9"/>
        <v>272332.58189999999</v>
      </c>
      <c r="J69" s="313"/>
      <c r="K69" s="308">
        <f>(H69+I69)-J69</f>
        <v>589625.58189999999</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10">SUM(F68:F72)</f>
        <v>6216</v>
      </c>
      <c r="G74" s="411">
        <f t="shared" si="10"/>
        <v>0</v>
      </c>
      <c r="H74" s="115">
        <f t="shared" si="10"/>
        <v>435284</v>
      </c>
      <c r="I74" s="412">
        <f t="shared" si="10"/>
        <v>373604.25719999999</v>
      </c>
      <c r="J74" s="411">
        <f t="shared" si="10"/>
        <v>0</v>
      </c>
      <c r="K74" s="308">
        <f t="shared" si="10"/>
        <v>808888.25719999999</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134287</v>
      </c>
      <c r="I77" s="115">
        <v>0</v>
      </c>
      <c r="J77" s="307"/>
      <c r="K77" s="308">
        <f>(H77+I77)-J77</f>
        <v>134287</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v>41313</v>
      </c>
      <c r="I79" s="115">
        <v>0</v>
      </c>
      <c r="J79" s="307"/>
      <c r="K79" s="308">
        <f>(H79+I79)-J79</f>
        <v>41313</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1">SUM(F77:F80)</f>
        <v>0</v>
      </c>
      <c r="G82" s="411">
        <f t="shared" si="11"/>
        <v>0</v>
      </c>
      <c r="H82" s="308">
        <f t="shared" si="11"/>
        <v>175600</v>
      </c>
      <c r="I82" s="308">
        <f t="shared" si="11"/>
        <v>0</v>
      </c>
      <c r="J82" s="308">
        <f t="shared" si="11"/>
        <v>0</v>
      </c>
      <c r="K82" s="308">
        <f t="shared" si="11"/>
        <v>175600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2">H86*F$114</f>
        <v>0</v>
      </c>
      <c r="J86" s="307"/>
      <c r="K86" s="308">
        <f t="shared" ref="K86:K96" si="13">(H86+I86)-J86</f>
        <v>0</v>
      </c>
    </row>
    <row r="87" spans="1:11" ht="18" customHeight="1" x14ac:dyDescent="0.4">
      <c r="A87" s="1" t="s">
        <v>114</v>
      </c>
      <c r="B87" s="94" t="s">
        <v>14</v>
      </c>
      <c r="F87" s="306"/>
      <c r="G87" s="306"/>
      <c r="H87" s="307"/>
      <c r="I87" s="115">
        <f t="shared" si="12"/>
        <v>0</v>
      </c>
      <c r="J87" s="307"/>
      <c r="K87" s="308">
        <f t="shared" si="13"/>
        <v>0</v>
      </c>
    </row>
    <row r="88" spans="1:11" ht="18" customHeight="1" x14ac:dyDescent="0.4">
      <c r="A88" s="1" t="s">
        <v>115</v>
      </c>
      <c r="B88" s="94" t="s">
        <v>116</v>
      </c>
      <c r="F88" s="306"/>
      <c r="G88" s="306"/>
      <c r="H88" s="307"/>
      <c r="I88" s="115">
        <f t="shared" si="12"/>
        <v>0</v>
      </c>
      <c r="J88" s="307"/>
      <c r="K88" s="308">
        <f t="shared" si="13"/>
        <v>0</v>
      </c>
    </row>
    <row r="89" spans="1:11" ht="18" customHeight="1" x14ac:dyDescent="0.4">
      <c r="A89" s="1" t="s">
        <v>117</v>
      </c>
      <c r="B89" s="94" t="s">
        <v>58</v>
      </c>
      <c r="F89" s="306"/>
      <c r="G89" s="306"/>
      <c r="H89" s="307"/>
      <c r="I89" s="115">
        <f t="shared" si="12"/>
        <v>0</v>
      </c>
      <c r="J89" s="307"/>
      <c r="K89" s="308">
        <f t="shared" si="13"/>
        <v>0</v>
      </c>
    </row>
    <row r="90" spans="1:11" ht="18" customHeight="1" x14ac:dyDescent="0.4">
      <c r="A90" s="1" t="s">
        <v>118</v>
      </c>
      <c r="B90" s="635" t="s">
        <v>59</v>
      </c>
      <c r="C90" s="636"/>
      <c r="F90" s="306"/>
      <c r="G90" s="306"/>
      <c r="H90" s="307"/>
      <c r="I90" s="115">
        <f t="shared" si="12"/>
        <v>0</v>
      </c>
      <c r="J90" s="307"/>
      <c r="K90" s="308">
        <f t="shared" si="13"/>
        <v>0</v>
      </c>
    </row>
    <row r="91" spans="1:11" ht="18" customHeight="1" x14ac:dyDescent="0.4">
      <c r="A91" s="1" t="s">
        <v>119</v>
      </c>
      <c r="B91" s="94" t="s">
        <v>60</v>
      </c>
      <c r="F91" s="306"/>
      <c r="G91" s="306"/>
      <c r="H91" s="307"/>
      <c r="I91" s="115">
        <f t="shared" si="12"/>
        <v>0</v>
      </c>
      <c r="J91" s="307"/>
      <c r="K91" s="308">
        <f t="shared" si="13"/>
        <v>0</v>
      </c>
    </row>
    <row r="92" spans="1:11" ht="18" customHeight="1" x14ac:dyDescent="0.4">
      <c r="A92" s="1" t="s">
        <v>120</v>
      </c>
      <c r="B92" s="94" t="s">
        <v>121</v>
      </c>
      <c r="F92" s="107"/>
      <c r="G92" s="107"/>
      <c r="H92" s="108"/>
      <c r="I92" s="115">
        <f t="shared" si="12"/>
        <v>0</v>
      </c>
      <c r="J92" s="108"/>
      <c r="K92" s="308">
        <f t="shared" si="13"/>
        <v>0</v>
      </c>
    </row>
    <row r="93" spans="1:11" ht="18" customHeight="1" x14ac:dyDescent="0.4">
      <c r="A93" s="1" t="s">
        <v>122</v>
      </c>
      <c r="B93" s="94" t="s">
        <v>123</v>
      </c>
      <c r="F93" s="306"/>
      <c r="G93" s="306"/>
      <c r="H93" s="307"/>
      <c r="I93" s="115">
        <f t="shared" si="12"/>
        <v>0</v>
      </c>
      <c r="J93" s="307"/>
      <c r="K93" s="308">
        <f t="shared" si="13"/>
        <v>0</v>
      </c>
    </row>
    <row r="94" spans="1:11" ht="18" customHeight="1" x14ac:dyDescent="0.4">
      <c r="A94" s="1" t="s">
        <v>124</v>
      </c>
      <c r="B94" s="655"/>
      <c r="C94" s="653"/>
      <c r="D94" s="654"/>
      <c r="F94" s="306"/>
      <c r="G94" s="306"/>
      <c r="H94" s="307"/>
      <c r="I94" s="115">
        <f t="shared" si="12"/>
        <v>0</v>
      </c>
      <c r="J94" s="307"/>
      <c r="K94" s="308">
        <f t="shared" si="13"/>
        <v>0</v>
      </c>
    </row>
    <row r="95" spans="1:11" ht="18" customHeight="1" x14ac:dyDescent="0.4">
      <c r="A95" s="1" t="s">
        <v>125</v>
      </c>
      <c r="B95" s="655"/>
      <c r="C95" s="653"/>
      <c r="D95" s="654"/>
      <c r="F95" s="306"/>
      <c r="G95" s="306"/>
      <c r="H95" s="307"/>
      <c r="I95" s="115">
        <f t="shared" si="12"/>
        <v>0</v>
      </c>
      <c r="J95" s="307"/>
      <c r="K95" s="308">
        <f t="shared" si="13"/>
        <v>0</v>
      </c>
    </row>
    <row r="96" spans="1:11" ht="18" customHeight="1" x14ac:dyDescent="0.4">
      <c r="A96" s="1" t="s">
        <v>126</v>
      </c>
      <c r="B96" s="655"/>
      <c r="C96" s="653"/>
      <c r="D96" s="654"/>
      <c r="F96" s="306"/>
      <c r="G96" s="306"/>
      <c r="H96" s="307"/>
      <c r="I96" s="115">
        <f t="shared" si="12"/>
        <v>0</v>
      </c>
      <c r="J96" s="307"/>
      <c r="K96" s="308">
        <f t="shared" si="13"/>
        <v>0</v>
      </c>
    </row>
    <row r="97" spans="1:11" ht="18" customHeight="1" x14ac:dyDescent="0.4">
      <c r="A97" s="1"/>
      <c r="B97" s="94"/>
    </row>
    <row r="98" spans="1:11" ht="18" customHeight="1" x14ac:dyDescent="0.4">
      <c r="A98" s="98" t="s">
        <v>150</v>
      </c>
      <c r="B98" s="95" t="s">
        <v>151</v>
      </c>
      <c r="E98" s="95" t="s">
        <v>7</v>
      </c>
      <c r="F98" s="310">
        <f t="shared" ref="F98:K98" si="14">SUM(F86:F96)</f>
        <v>0</v>
      </c>
      <c r="G98" s="310">
        <f t="shared" si="14"/>
        <v>0</v>
      </c>
      <c r="H98" s="310">
        <f t="shared" si="14"/>
        <v>0</v>
      </c>
      <c r="I98" s="310">
        <f t="shared" si="14"/>
        <v>0</v>
      </c>
      <c r="J98" s="310">
        <f t="shared" si="14"/>
        <v>0</v>
      </c>
      <c r="K98" s="310">
        <f t="shared" si="14"/>
        <v>0</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c r="G102" s="306"/>
      <c r="H102" s="307"/>
      <c r="I102" s="115">
        <f>H102*F$114</f>
        <v>0</v>
      </c>
      <c r="J102" s="307"/>
      <c r="K102" s="308">
        <f>(H102+I102)-J102</f>
        <v>0</v>
      </c>
    </row>
    <row r="103" spans="1:11" ht="18" customHeight="1" x14ac:dyDescent="0.4">
      <c r="A103" s="1" t="s">
        <v>132</v>
      </c>
      <c r="B103" s="635" t="s">
        <v>62</v>
      </c>
      <c r="C103" s="635"/>
      <c r="F103" s="306">
        <v>4687</v>
      </c>
      <c r="G103" s="306"/>
      <c r="H103" s="307">
        <v>192013</v>
      </c>
      <c r="I103" s="115">
        <f>H103*F$114</f>
        <v>164804.7579</v>
      </c>
      <c r="J103" s="307"/>
      <c r="K103" s="308">
        <f>(H103+I103)-J103</f>
        <v>356817.75789999997</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5">SUM(F102:F106)</f>
        <v>4687</v>
      </c>
      <c r="G108" s="310">
        <f t="shared" si="15"/>
        <v>0</v>
      </c>
      <c r="H108" s="308">
        <f t="shared" si="15"/>
        <v>192013</v>
      </c>
      <c r="I108" s="308">
        <f t="shared" si="15"/>
        <v>164804.7579</v>
      </c>
      <c r="J108" s="308">
        <f t="shared" si="15"/>
        <v>0</v>
      </c>
      <c r="K108" s="308">
        <f t="shared" si="15"/>
        <v>356817.75789999997</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1929700</v>
      </c>
    </row>
    <row r="112" spans="1:11" ht="18" customHeight="1" x14ac:dyDescent="0.4">
      <c r="B112" s="95"/>
      <c r="E112" s="95"/>
    </row>
    <row r="113" spans="1:7" ht="18" customHeight="1" x14ac:dyDescent="0.4">
      <c r="A113" s="98"/>
      <c r="B113" s="95" t="s">
        <v>15</v>
      </c>
    </row>
    <row r="114" spans="1:7" ht="18" customHeight="1" x14ac:dyDescent="0.4">
      <c r="A114" s="1" t="s">
        <v>171</v>
      </c>
      <c r="B114" s="94" t="s">
        <v>35</v>
      </c>
      <c r="F114" s="317">
        <v>0.85829999999999995</v>
      </c>
    </row>
    <row r="115" spans="1:7" ht="18" customHeight="1" x14ac:dyDescent="0.4">
      <c r="A115" s="1"/>
      <c r="B115" s="95"/>
    </row>
    <row r="116" spans="1:7" ht="18" customHeight="1" x14ac:dyDescent="0.4">
      <c r="A116" s="1" t="s">
        <v>170</v>
      </c>
      <c r="B116" s="95" t="s">
        <v>16</v>
      </c>
    </row>
    <row r="117" spans="1:7" ht="18" customHeight="1" x14ac:dyDescent="0.4">
      <c r="A117" s="1" t="s">
        <v>172</v>
      </c>
      <c r="B117" s="94" t="s">
        <v>17</v>
      </c>
      <c r="F117" s="307">
        <v>249417000</v>
      </c>
      <c r="G117" t="s">
        <v>85</v>
      </c>
    </row>
    <row r="118" spans="1:7" ht="18" customHeight="1" x14ac:dyDescent="0.4">
      <c r="A118" s="1" t="s">
        <v>173</v>
      </c>
      <c r="B118" t="s">
        <v>18</v>
      </c>
      <c r="F118" s="307">
        <v>10674000</v>
      </c>
      <c r="G118" t="s">
        <v>85</v>
      </c>
    </row>
    <row r="119" spans="1:7" ht="18" customHeight="1" x14ac:dyDescent="0.4">
      <c r="A119" s="1" t="s">
        <v>174</v>
      </c>
      <c r="B119" s="95" t="s">
        <v>19</v>
      </c>
      <c r="F119" s="308">
        <f>SUM(F117:F118)</f>
        <v>260091000</v>
      </c>
    </row>
    <row r="120" spans="1:7" ht="18" customHeight="1" x14ac:dyDescent="0.4">
      <c r="A120" s="1"/>
      <c r="B120" s="95"/>
    </row>
    <row r="121" spans="1:7" ht="18" customHeight="1" x14ac:dyDescent="0.4">
      <c r="A121" s="1" t="s">
        <v>167</v>
      </c>
      <c r="B121" s="95" t="s">
        <v>36</v>
      </c>
      <c r="F121" s="307">
        <v>249673000</v>
      </c>
    </row>
    <row r="122" spans="1:7" ht="18" customHeight="1" x14ac:dyDescent="0.4">
      <c r="A122" s="1"/>
    </row>
    <row r="123" spans="1:7" ht="18" customHeight="1" x14ac:dyDescent="0.4">
      <c r="A123" s="1" t="s">
        <v>175</v>
      </c>
      <c r="B123" s="95" t="s">
        <v>20</v>
      </c>
      <c r="F123" s="307">
        <f>+F119-F121</f>
        <v>10418000</v>
      </c>
    </row>
    <row r="124" spans="1:7" ht="18" customHeight="1" x14ac:dyDescent="0.4">
      <c r="A124" s="1"/>
    </row>
    <row r="125" spans="1:7" ht="18" customHeight="1" x14ac:dyDescent="0.4">
      <c r="A125" s="1" t="s">
        <v>176</v>
      </c>
      <c r="B125" s="95" t="s">
        <v>21</v>
      </c>
      <c r="F125" s="307">
        <v>4551000</v>
      </c>
    </row>
    <row r="126" spans="1:7" ht="18" customHeight="1" x14ac:dyDescent="0.4">
      <c r="A126" s="1"/>
    </row>
    <row r="127" spans="1:7" ht="18" customHeight="1" x14ac:dyDescent="0.4">
      <c r="A127" s="1" t="s">
        <v>177</v>
      </c>
      <c r="B127" s="95" t="s">
        <v>22</v>
      </c>
      <c r="F127" s="307">
        <f>+F123+F125</f>
        <v>14969000</v>
      </c>
    </row>
    <row r="128" spans="1:7"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6">SUM(F131:F135)</f>
        <v>0</v>
      </c>
      <c r="G137" s="310">
        <f t="shared" si="16"/>
        <v>0</v>
      </c>
      <c r="H137" s="308">
        <f t="shared" si="16"/>
        <v>0</v>
      </c>
      <c r="I137" s="308">
        <f t="shared" si="16"/>
        <v>0</v>
      </c>
      <c r="J137" s="308">
        <f t="shared" si="16"/>
        <v>0</v>
      </c>
      <c r="K137" s="308">
        <f t="shared" si="16"/>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7">F36</f>
        <v>19130</v>
      </c>
      <c r="G141" s="109">
        <f t="shared" si="17"/>
        <v>1030</v>
      </c>
      <c r="H141" s="109">
        <f t="shared" si="17"/>
        <v>1654447</v>
      </c>
      <c r="I141" s="109">
        <f t="shared" si="17"/>
        <v>1420011.8600999999</v>
      </c>
      <c r="J141" s="109">
        <f t="shared" si="17"/>
        <v>1121538</v>
      </c>
      <c r="K141" s="109">
        <f t="shared" si="17"/>
        <v>1952920.8600999999</v>
      </c>
    </row>
    <row r="142" spans="1:11" ht="18" customHeight="1" x14ac:dyDescent="0.4">
      <c r="A142" s="1" t="s">
        <v>142</v>
      </c>
      <c r="B142" s="95" t="s">
        <v>65</v>
      </c>
      <c r="F142" s="109">
        <f t="shared" ref="F142:K142" si="18">F49</f>
        <v>11630</v>
      </c>
      <c r="G142" s="109">
        <f t="shared" si="18"/>
        <v>0</v>
      </c>
      <c r="H142" s="109">
        <f t="shared" si="18"/>
        <v>722291</v>
      </c>
      <c r="I142" s="109">
        <f t="shared" si="18"/>
        <v>619942.36529999995</v>
      </c>
      <c r="J142" s="109">
        <f t="shared" si="18"/>
        <v>0</v>
      </c>
      <c r="K142" s="109">
        <f t="shared" si="18"/>
        <v>1342233.3652999999</v>
      </c>
    </row>
    <row r="143" spans="1:11" ht="18" customHeight="1" x14ac:dyDescent="0.4">
      <c r="A143" s="1" t="s">
        <v>144</v>
      </c>
      <c r="B143" s="95" t="s">
        <v>66</v>
      </c>
      <c r="F143" s="109">
        <f t="shared" ref="F143:K143" si="19">F64</f>
        <v>0</v>
      </c>
      <c r="G143" s="109">
        <f t="shared" si="19"/>
        <v>0</v>
      </c>
      <c r="H143" s="109">
        <f t="shared" si="19"/>
        <v>7233780</v>
      </c>
      <c r="I143" s="109">
        <f t="shared" si="19"/>
        <v>3880728.7778999996</v>
      </c>
      <c r="J143" s="109">
        <f t="shared" si="19"/>
        <v>2945400</v>
      </c>
      <c r="K143" s="109">
        <f t="shared" si="19"/>
        <v>8169108.7778999992</v>
      </c>
    </row>
    <row r="144" spans="1:11" ht="18" customHeight="1" x14ac:dyDescent="0.4">
      <c r="A144" s="1" t="s">
        <v>146</v>
      </c>
      <c r="B144" s="95" t="s">
        <v>67</v>
      </c>
      <c r="F144" s="109">
        <f t="shared" ref="F144:K144" si="20">F74</f>
        <v>6216</v>
      </c>
      <c r="G144" s="109">
        <f t="shared" si="20"/>
        <v>0</v>
      </c>
      <c r="H144" s="109">
        <f t="shared" si="20"/>
        <v>435284</v>
      </c>
      <c r="I144" s="109">
        <f t="shared" si="20"/>
        <v>373604.25719999999</v>
      </c>
      <c r="J144" s="109">
        <f t="shared" si="20"/>
        <v>0</v>
      </c>
      <c r="K144" s="109">
        <f t="shared" si="20"/>
        <v>808888.25719999999</v>
      </c>
    </row>
    <row r="145" spans="1:11" ht="18" customHeight="1" x14ac:dyDescent="0.4">
      <c r="A145" s="1" t="s">
        <v>148</v>
      </c>
      <c r="B145" s="95" t="s">
        <v>68</v>
      </c>
      <c r="F145" s="109">
        <f t="shared" ref="F145:K145" si="21">F82</f>
        <v>0</v>
      </c>
      <c r="G145" s="109">
        <f t="shared" si="21"/>
        <v>0</v>
      </c>
      <c r="H145" s="109">
        <f t="shared" si="21"/>
        <v>175600</v>
      </c>
      <c r="I145" s="109">
        <f t="shared" si="21"/>
        <v>0</v>
      </c>
      <c r="J145" s="109">
        <f t="shared" si="21"/>
        <v>0</v>
      </c>
      <c r="K145" s="109">
        <f t="shared" si="21"/>
        <v>175600</v>
      </c>
    </row>
    <row r="146" spans="1:11" ht="18" customHeight="1" x14ac:dyDescent="0.4">
      <c r="A146" s="1" t="s">
        <v>150</v>
      </c>
      <c r="B146" s="95" t="s">
        <v>69</v>
      </c>
      <c r="F146" s="109">
        <f t="shared" ref="F146:K146" si="22">F98</f>
        <v>0</v>
      </c>
      <c r="G146" s="109">
        <f t="shared" si="22"/>
        <v>0</v>
      </c>
      <c r="H146" s="109">
        <f t="shared" si="22"/>
        <v>0</v>
      </c>
      <c r="I146" s="109">
        <f t="shared" si="22"/>
        <v>0</v>
      </c>
      <c r="J146" s="109">
        <f t="shared" si="22"/>
        <v>0</v>
      </c>
      <c r="K146" s="109">
        <f t="shared" si="22"/>
        <v>0</v>
      </c>
    </row>
    <row r="147" spans="1:11" ht="18" customHeight="1" x14ac:dyDescent="0.4">
      <c r="A147" s="1" t="s">
        <v>153</v>
      </c>
      <c r="B147" s="95" t="s">
        <v>61</v>
      </c>
      <c r="F147" s="310">
        <f t="shared" ref="F147:K147" si="23">F108</f>
        <v>4687</v>
      </c>
      <c r="G147" s="310">
        <f t="shared" si="23"/>
        <v>0</v>
      </c>
      <c r="H147" s="310">
        <f t="shared" si="23"/>
        <v>192013</v>
      </c>
      <c r="I147" s="310">
        <f t="shared" si="23"/>
        <v>164804.7579</v>
      </c>
      <c r="J147" s="310">
        <f t="shared" si="23"/>
        <v>0</v>
      </c>
      <c r="K147" s="310">
        <f t="shared" si="23"/>
        <v>356817.75789999997</v>
      </c>
    </row>
    <row r="148" spans="1:11" ht="18" customHeight="1" x14ac:dyDescent="0.4">
      <c r="A148" s="1" t="s">
        <v>155</v>
      </c>
      <c r="B148" s="95" t="s">
        <v>70</v>
      </c>
      <c r="F148" s="110" t="s">
        <v>73</v>
      </c>
      <c r="G148" s="110" t="s">
        <v>73</v>
      </c>
      <c r="H148" s="111" t="s">
        <v>73</v>
      </c>
      <c r="I148" s="111" t="s">
        <v>73</v>
      </c>
      <c r="J148" s="111" t="s">
        <v>73</v>
      </c>
      <c r="K148" s="106">
        <f>F111</f>
        <v>1929700</v>
      </c>
    </row>
    <row r="149" spans="1:11" ht="18" customHeight="1" x14ac:dyDescent="0.4">
      <c r="A149" s="1" t="s">
        <v>163</v>
      </c>
      <c r="B149" s="95" t="s">
        <v>71</v>
      </c>
      <c r="F149" s="310">
        <f t="shared" ref="F149:K149" si="24">F137</f>
        <v>0</v>
      </c>
      <c r="G149" s="310">
        <f t="shared" si="24"/>
        <v>0</v>
      </c>
      <c r="H149" s="310">
        <f t="shared" si="24"/>
        <v>0</v>
      </c>
      <c r="I149" s="310">
        <f t="shared" si="24"/>
        <v>0</v>
      </c>
      <c r="J149" s="310">
        <f t="shared" si="24"/>
        <v>0</v>
      </c>
      <c r="K149" s="310">
        <f t="shared" si="24"/>
        <v>0</v>
      </c>
    </row>
    <row r="150" spans="1:11" ht="18" customHeight="1" x14ac:dyDescent="0.4">
      <c r="A150" s="1" t="s">
        <v>185</v>
      </c>
      <c r="B150" s="95" t="s">
        <v>186</v>
      </c>
      <c r="F150" s="110" t="s">
        <v>73</v>
      </c>
      <c r="G150" s="110" t="s">
        <v>73</v>
      </c>
      <c r="H150" s="310">
        <f>H18</f>
        <v>5061153.83</v>
      </c>
      <c r="I150" s="310">
        <f>I18</f>
        <v>0</v>
      </c>
      <c r="J150" s="310">
        <f>J18</f>
        <v>4194533.24</v>
      </c>
      <c r="K150" s="310">
        <f>K18</f>
        <v>866620.58999999985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5">SUM(F141:F150)</f>
        <v>41663</v>
      </c>
      <c r="G152" s="114">
        <f t="shared" si="25"/>
        <v>1030</v>
      </c>
      <c r="H152" s="114">
        <f t="shared" si="25"/>
        <v>15474568.83</v>
      </c>
      <c r="I152" s="114">
        <f t="shared" si="25"/>
        <v>6459092.0183999995</v>
      </c>
      <c r="J152" s="114">
        <f t="shared" si="25"/>
        <v>8261471.2400000002</v>
      </c>
      <c r="K152" s="114">
        <f t="shared" si="25"/>
        <v>15601889.6084</v>
      </c>
    </row>
    <row r="153" spans="1:11" ht="18" customHeight="1" x14ac:dyDescent="0.4">
      <c r="H153" s="189"/>
    </row>
    <row r="154" spans="1:11" ht="18" customHeight="1" x14ac:dyDescent="0.4">
      <c r="A154" s="98" t="s">
        <v>168</v>
      </c>
      <c r="B154" s="95" t="s">
        <v>28</v>
      </c>
      <c r="F154" s="318">
        <f>K152/F121</f>
        <v>6.2489294430715374E-2</v>
      </c>
      <c r="H154" s="189"/>
    </row>
    <row r="155" spans="1:11" ht="18" customHeight="1" x14ac:dyDescent="0.4">
      <c r="A155" s="98" t="s">
        <v>169</v>
      </c>
      <c r="B155" s="95" t="s">
        <v>72</v>
      </c>
      <c r="F155" s="318">
        <f>K152/F127</f>
        <v>1.0422800192664841</v>
      </c>
      <c r="G155" s="95"/>
    </row>
    <row r="156" spans="1:11" ht="18" customHeight="1" x14ac:dyDescent="0.4">
      <c r="G156" s="95"/>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xr:uid="{744051BB-DAC7-4EFF-88FE-D2D4D80D03FF}"/>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tint="0.59999389629810485"/>
  </sheetPr>
  <dimension ref="A1:I16"/>
  <sheetViews>
    <sheetView showGridLines="0" showRuler="0" zoomScaleNormal="100" workbookViewId="0">
      <selection activeCell="A2" sqref="A2"/>
    </sheetView>
  </sheetViews>
  <sheetFormatPr defaultColWidth="9.27734375" defaultRowHeight="14.4" x14ac:dyDescent="0.55000000000000004"/>
  <cols>
    <col min="1" max="1" width="15.71875" style="2" bestFit="1" customWidth="1"/>
    <col min="2" max="2" width="12" style="2" bestFit="1" customWidth="1"/>
    <col min="3" max="3" width="12.109375" style="2" bestFit="1" customWidth="1"/>
    <col min="4" max="4" width="17.83203125" style="2" bestFit="1" customWidth="1"/>
    <col min="5" max="5" width="12.38671875" style="2" customWidth="1"/>
    <col min="6" max="6" width="16.109375" style="2" bestFit="1" customWidth="1"/>
    <col min="7" max="7" width="13" style="2" customWidth="1"/>
    <col min="8" max="8" width="9.27734375" style="2"/>
    <col min="9" max="9" width="14.609375" style="2" bestFit="1" customWidth="1"/>
    <col min="10" max="16384" width="9.27734375" style="2"/>
  </cols>
  <sheetData>
    <row r="1" spans="1:9" ht="18" customHeight="1" x14ac:dyDescent="0.55000000000000004">
      <c r="B1" s="617" t="s">
        <v>854</v>
      </c>
      <c r="C1" s="617"/>
      <c r="D1" s="617"/>
      <c r="E1" s="617"/>
      <c r="F1" s="617"/>
      <c r="G1" s="170"/>
    </row>
    <row r="2" spans="1:9" ht="75" customHeight="1" x14ac:dyDescent="0.55000000000000004">
      <c r="A2" s="198" t="s">
        <v>198</v>
      </c>
      <c r="B2" s="198" t="s">
        <v>199</v>
      </c>
      <c r="C2" s="198" t="s">
        <v>200</v>
      </c>
      <c r="D2" s="198" t="s">
        <v>201</v>
      </c>
      <c r="E2" s="198" t="s">
        <v>202</v>
      </c>
      <c r="F2" s="198" t="s">
        <v>203</v>
      </c>
      <c r="G2" s="198" t="s">
        <v>204</v>
      </c>
    </row>
    <row r="3" spans="1:9" ht="28.8" x14ac:dyDescent="0.55000000000000004">
      <c r="A3" s="200" t="s">
        <v>205</v>
      </c>
      <c r="B3" s="202">
        <f>'Attachment III-All'!G6</f>
        <v>0</v>
      </c>
      <c r="C3" s="202">
        <f>'Attachment III-All'!H118</f>
        <v>0</v>
      </c>
      <c r="D3" s="203">
        <f>'Attachment III-All'!L118</f>
        <v>56475884.01000011</v>
      </c>
      <c r="E3" s="204">
        <f>D3/D13</f>
        <v>2.90723838846518E-2</v>
      </c>
      <c r="F3" s="205">
        <f>D3</f>
        <v>56475884.01000011</v>
      </c>
      <c r="G3" s="204">
        <f>F3/F13</f>
        <v>4.566092956213226E-2</v>
      </c>
    </row>
    <row r="4" spans="1:9" ht="28.8" x14ac:dyDescent="0.55000000000000004">
      <c r="A4" s="200" t="s">
        <v>64</v>
      </c>
      <c r="B4" s="202">
        <f>'Attachment III-All'!G109</f>
        <v>934443.12192288472</v>
      </c>
      <c r="C4" s="202">
        <f>'Attachment III-All'!H109</f>
        <v>4453676.104922316</v>
      </c>
      <c r="D4" s="203">
        <f>'Attachment III-All'!L109</f>
        <v>128725777.96981603</v>
      </c>
      <c r="E4" s="204">
        <f>D4/D13</f>
        <v>6.6264836727943727E-2</v>
      </c>
      <c r="F4" s="205">
        <f>D4</f>
        <v>128725777.96981603</v>
      </c>
      <c r="G4" s="204">
        <f>F4/F13</f>
        <v>0.10407519570069382</v>
      </c>
    </row>
    <row r="5" spans="1:9" ht="43.2" x14ac:dyDescent="0.55000000000000004">
      <c r="A5" s="200" t="s">
        <v>206</v>
      </c>
      <c r="B5" s="202">
        <f>'Attachment III-All'!G110</f>
        <v>6968310.7011260502</v>
      </c>
      <c r="C5" s="202">
        <f>'Attachment III-All'!H110</f>
        <v>191807.91351674462</v>
      </c>
      <c r="D5" s="203">
        <f>'Attachment III-All'!L110</f>
        <v>609639789.34161854</v>
      </c>
      <c r="E5" s="204">
        <f>D5/D13</f>
        <v>0.3138274379903373</v>
      </c>
      <c r="F5" s="206">
        <f>D5-'DME_NSPI-all'!E53</f>
        <v>236125333.55651712</v>
      </c>
      <c r="G5" s="204">
        <f>F5/F13</f>
        <v>0.19090807363812157</v>
      </c>
    </row>
    <row r="6" spans="1:9" ht="36" customHeight="1" x14ac:dyDescent="0.55000000000000004">
      <c r="A6" s="200" t="s">
        <v>207</v>
      </c>
      <c r="B6" s="202">
        <f>'Attachment III-All'!G111</f>
        <v>4153090.377631675</v>
      </c>
      <c r="C6" s="202">
        <f>'Attachment III-All'!H111</f>
        <v>1785748.8599999999</v>
      </c>
      <c r="D6" s="203">
        <f>'Attachment III-All'!L111</f>
        <v>717069936.04705215</v>
      </c>
      <c r="E6" s="204">
        <f>D6/D13</f>
        <v>0.36912981210194562</v>
      </c>
      <c r="F6" s="206">
        <f t="shared" ref="F6:F11" si="0">D6</f>
        <v>717069936.04705215</v>
      </c>
      <c r="G6" s="204">
        <f>F6/F13</f>
        <v>0.57975329496691963</v>
      </c>
    </row>
    <row r="7" spans="1:9" x14ac:dyDescent="0.55000000000000004">
      <c r="A7" s="200" t="s">
        <v>67</v>
      </c>
      <c r="B7" s="202">
        <f>'Attachment III-All'!G112</f>
        <v>115676.10483870967</v>
      </c>
      <c r="C7" s="202">
        <f>'Attachment III-All'!H112</f>
        <v>21284</v>
      </c>
      <c r="D7" s="203">
        <f>'Attachment III-All'!L112</f>
        <v>15459333.861963578</v>
      </c>
      <c r="E7" s="204">
        <f>D7/D13</f>
        <v>7.9580815159337771E-3</v>
      </c>
      <c r="F7" s="206">
        <f t="shared" si="0"/>
        <v>15459333.861963578</v>
      </c>
      <c r="G7" s="204">
        <f>F7/F13</f>
        <v>1.2498919971285698E-2</v>
      </c>
    </row>
    <row r="8" spans="1:9" ht="28.8" x14ac:dyDescent="0.55000000000000004">
      <c r="A8" s="200" t="s">
        <v>68</v>
      </c>
      <c r="B8" s="202">
        <f>'Attachment III-All'!G113</f>
        <v>25710.013590933577</v>
      </c>
      <c r="C8" s="202">
        <f>'Attachment III-All'!H113</f>
        <v>144373.40362857835</v>
      </c>
      <c r="D8" s="203">
        <f>'Attachment III-All'!L113</f>
        <v>14821576.111791367</v>
      </c>
      <c r="E8" s="204">
        <f>D8/D13</f>
        <v>7.6297796493328867E-3</v>
      </c>
      <c r="F8" s="206">
        <f t="shared" si="0"/>
        <v>14821576.111791367</v>
      </c>
      <c r="G8" s="204">
        <f>F8/F13</f>
        <v>1.1983290827646957E-2</v>
      </c>
    </row>
    <row r="9" spans="1:9" ht="36" customHeight="1" x14ac:dyDescent="0.55000000000000004">
      <c r="A9" s="200" t="s">
        <v>25</v>
      </c>
      <c r="B9" s="202">
        <f>'Attachment III-All'!G114</f>
        <v>379825.45018002571</v>
      </c>
      <c r="C9" s="202">
        <f>'Attachment III-All'!H114</f>
        <v>68848.155542988767</v>
      </c>
      <c r="D9" s="203">
        <f>'Attachment III-All'!L114</f>
        <v>37626055.03656207</v>
      </c>
      <c r="E9" s="204">
        <f>D9/D13</f>
        <v>1.9368959605736799E-2</v>
      </c>
      <c r="F9" s="206">
        <f t="shared" si="0"/>
        <v>37626055.03656207</v>
      </c>
      <c r="G9" s="204">
        <f>F9/F13</f>
        <v>3.0420783646718328E-2</v>
      </c>
    </row>
    <row r="10" spans="1:9" ht="43.2" x14ac:dyDescent="0.55000000000000004">
      <c r="A10" s="200" t="s">
        <v>61</v>
      </c>
      <c r="B10" s="202">
        <f>'Attachment III-All'!G115</f>
        <v>99211.406745718035</v>
      </c>
      <c r="C10" s="202">
        <f>'Attachment III-All'!H115</f>
        <v>94153</v>
      </c>
      <c r="D10" s="203">
        <f>'Attachment III-All'!L115</f>
        <v>12928699.127572978</v>
      </c>
      <c r="E10" s="204">
        <f>D10/D13</f>
        <v>6.6553735413758192E-3</v>
      </c>
      <c r="F10" s="206">
        <f t="shared" si="0"/>
        <v>12928699.127572978</v>
      </c>
      <c r="G10" s="204">
        <f>F10/F13</f>
        <v>1.0452893842079222E-2</v>
      </c>
    </row>
    <row r="11" spans="1:9" x14ac:dyDescent="0.55000000000000004">
      <c r="A11" s="200" t="s">
        <v>208</v>
      </c>
      <c r="B11" s="202">
        <f>'Attachment III-All'!G117</f>
        <v>3451.5</v>
      </c>
      <c r="C11" s="202">
        <f>'Attachment III-All'!H117</f>
        <v>11163</v>
      </c>
      <c r="D11" s="203">
        <f>'Attachment III-All'!L117</f>
        <v>1165182.0660000001</v>
      </c>
      <c r="E11" s="204">
        <f>D11/D13</f>
        <v>5.99806818646089E-4</v>
      </c>
      <c r="F11" s="206">
        <f t="shared" si="0"/>
        <v>1165182.0660000001</v>
      </c>
      <c r="G11" s="204">
        <f>F11/F13</f>
        <v>9.4205335915175954E-4</v>
      </c>
    </row>
    <row r="12" spans="1:9" x14ac:dyDescent="0.55000000000000004">
      <c r="A12" s="200" t="s">
        <v>412</v>
      </c>
      <c r="B12" s="202">
        <f>'Attachment III-All'!G116</f>
        <v>0</v>
      </c>
      <c r="C12" s="202">
        <f>'Attachment III-All'!H116</f>
        <v>0</v>
      </c>
      <c r="D12" s="203">
        <f>'Attachment III-All'!L116</f>
        <v>348683331.83000004</v>
      </c>
      <c r="E12" s="204">
        <f>D12/D13</f>
        <v>0.17949352816409628</v>
      </c>
      <c r="F12" s="206">
        <f>D12-'Rate Support-Attachment I'!E53</f>
        <v>16455798.160003603</v>
      </c>
      <c r="G12" s="204">
        <f>F12/F13</f>
        <v>1.3304564485250785E-2</v>
      </c>
    </row>
    <row r="13" spans="1:9" x14ac:dyDescent="0.55000000000000004">
      <c r="A13" s="199" t="s">
        <v>192</v>
      </c>
      <c r="B13" s="207">
        <f>SUM(B3:B12)</f>
        <v>12679718.676035998</v>
      </c>
      <c r="C13" s="207">
        <f t="shared" ref="C13:G13" si="1">SUM(C3:C12)</f>
        <v>6771054.4376106281</v>
      </c>
      <c r="D13" s="208">
        <f t="shared" si="1"/>
        <v>1942595565.4023767</v>
      </c>
      <c r="E13" s="209">
        <f t="shared" si="1"/>
        <v>1.0000000000000002</v>
      </c>
      <c r="F13" s="210">
        <f t="shared" si="1"/>
        <v>1236853575.947279</v>
      </c>
      <c r="G13" s="209">
        <f t="shared" si="1"/>
        <v>1</v>
      </c>
    </row>
    <row r="14" spans="1:9" x14ac:dyDescent="0.55000000000000004">
      <c r="E14" s="80"/>
    </row>
    <row r="15" spans="1:9" x14ac:dyDescent="0.55000000000000004">
      <c r="F15" s="187"/>
    </row>
    <row r="16" spans="1:9" x14ac:dyDescent="0.55000000000000004">
      <c r="F16" s="197"/>
      <c r="I16" s="4"/>
    </row>
  </sheetData>
  <mergeCells count="1">
    <mergeCell ref="B1:F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dimension ref="A1:K156"/>
  <sheetViews>
    <sheetView showGridLines="0" topLeftCell="A136" zoomScale="85" zoomScaleNormal="85" zoomScaleSheetLayoutView="50" workbookViewId="0">
      <selection activeCell="M146" sqref="M146"/>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639</v>
      </c>
      <c r="D5" s="666"/>
      <c r="E5" s="666"/>
      <c r="F5" s="666"/>
      <c r="G5" s="667"/>
    </row>
    <row r="6" spans="1:11" ht="18" customHeight="1" x14ac:dyDescent="0.4">
      <c r="B6" s="1" t="s">
        <v>3</v>
      </c>
      <c r="C6" s="683">
        <v>21043</v>
      </c>
      <c r="D6" s="684"/>
      <c r="E6" s="684"/>
      <c r="F6" s="684"/>
      <c r="G6" s="685"/>
    </row>
    <row r="7" spans="1:11" ht="18" customHeight="1" x14ac:dyDescent="0.4">
      <c r="B7" s="1" t="s">
        <v>4</v>
      </c>
      <c r="C7" s="686">
        <v>3215</v>
      </c>
      <c r="D7" s="687"/>
      <c r="E7" s="687"/>
      <c r="F7" s="687"/>
      <c r="G7" s="688"/>
    </row>
    <row r="9" spans="1:11" ht="18" customHeight="1" x14ac:dyDescent="0.4">
      <c r="B9" s="1" t="s">
        <v>1</v>
      </c>
      <c r="C9" s="731" t="s">
        <v>640</v>
      </c>
      <c r="D9" s="666"/>
      <c r="E9" s="666"/>
      <c r="F9" s="666"/>
      <c r="G9" s="667"/>
    </row>
    <row r="10" spans="1:11" ht="18" customHeight="1" x14ac:dyDescent="0.4">
      <c r="B10" s="1" t="s">
        <v>2</v>
      </c>
      <c r="C10" s="733" t="s">
        <v>478</v>
      </c>
      <c r="D10" s="661"/>
      <c r="E10" s="661"/>
      <c r="F10" s="661"/>
      <c r="G10" s="662"/>
    </row>
    <row r="11" spans="1:11" ht="18" customHeight="1" x14ac:dyDescent="0.4">
      <c r="B11" s="1" t="s">
        <v>32</v>
      </c>
      <c r="C11" s="682" t="s">
        <v>534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8590507.0899999999</v>
      </c>
      <c r="I18" s="115">
        <v>0</v>
      </c>
      <c r="J18" s="307">
        <v>7119555.8799999999</v>
      </c>
      <c r="K18" s="308">
        <f>(H18+I18)-J18</f>
        <v>1470951.21</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843.5</v>
      </c>
      <c r="G21" s="306">
        <v>2960</v>
      </c>
      <c r="H21" s="307">
        <v>79769</v>
      </c>
      <c r="I21" s="115">
        <v>14588</v>
      </c>
      <c r="J21" s="307">
        <v>2600</v>
      </c>
      <c r="K21" s="308">
        <f t="shared" ref="K21:K34" si="0">(H21+I21)-J21</f>
        <v>91757</v>
      </c>
    </row>
    <row r="22" spans="1:11" ht="18" customHeight="1" x14ac:dyDescent="0.4">
      <c r="A22" s="1" t="s">
        <v>76</v>
      </c>
      <c r="B22" t="s">
        <v>6</v>
      </c>
      <c r="F22" s="306">
        <v>62</v>
      </c>
      <c r="G22" s="306">
        <v>338</v>
      </c>
      <c r="H22" s="307">
        <v>2853</v>
      </c>
      <c r="I22" s="115">
        <v>1883</v>
      </c>
      <c r="J22" s="307">
        <v>0</v>
      </c>
      <c r="K22" s="308">
        <f t="shared" si="0"/>
        <v>4736</v>
      </c>
    </row>
    <row r="23" spans="1:11" ht="18" customHeight="1" x14ac:dyDescent="0.4">
      <c r="A23" s="1" t="s">
        <v>77</v>
      </c>
      <c r="B23" t="s">
        <v>43</v>
      </c>
      <c r="F23" s="306">
        <v>163</v>
      </c>
      <c r="G23" s="306">
        <v>213</v>
      </c>
      <c r="H23" s="307">
        <v>20738</v>
      </c>
      <c r="I23" s="115">
        <v>7088</v>
      </c>
      <c r="J23" s="307">
        <v>8615</v>
      </c>
      <c r="K23" s="308">
        <f t="shared" si="0"/>
        <v>19211</v>
      </c>
    </row>
    <row r="24" spans="1:11" ht="18" customHeight="1" x14ac:dyDescent="0.4">
      <c r="A24" s="1" t="s">
        <v>78</v>
      </c>
      <c r="B24" t="s">
        <v>44</v>
      </c>
      <c r="F24" s="306"/>
      <c r="G24" s="306"/>
      <c r="H24" s="307"/>
      <c r="I24" s="115">
        <v>18034</v>
      </c>
      <c r="J24" s="307">
        <v>0</v>
      </c>
      <c r="K24" s="308">
        <f t="shared" si="0"/>
        <v>18034</v>
      </c>
    </row>
    <row r="25" spans="1:11" ht="18" customHeight="1" x14ac:dyDescent="0.4">
      <c r="A25" s="1" t="s">
        <v>79</v>
      </c>
      <c r="B25" t="s">
        <v>5</v>
      </c>
      <c r="F25" s="306">
        <v>211</v>
      </c>
      <c r="G25" s="306">
        <v>137</v>
      </c>
      <c r="H25" s="307">
        <v>27328</v>
      </c>
      <c r="I25" s="115">
        <v>0</v>
      </c>
      <c r="J25" s="307">
        <v>0</v>
      </c>
      <c r="K25" s="308">
        <f t="shared" si="0"/>
        <v>27328</v>
      </c>
    </row>
    <row r="26" spans="1:11" ht="18" customHeight="1" x14ac:dyDescent="0.4">
      <c r="A26" s="1" t="s">
        <v>80</v>
      </c>
      <c r="B26" t="s">
        <v>45</v>
      </c>
      <c r="F26" s="306">
        <v>20</v>
      </c>
      <c r="G26" s="306">
        <v>600</v>
      </c>
      <c r="H26" s="307">
        <v>10055</v>
      </c>
      <c r="I26" s="115">
        <v>0</v>
      </c>
      <c r="J26" s="307">
        <v>0</v>
      </c>
      <c r="K26" s="308">
        <f t="shared" si="0"/>
        <v>10055</v>
      </c>
    </row>
    <row r="27" spans="1:11" ht="18" customHeight="1" x14ac:dyDescent="0.4">
      <c r="A27" s="1" t="s">
        <v>81</v>
      </c>
      <c r="B27" t="s">
        <v>455</v>
      </c>
      <c r="F27" s="306"/>
      <c r="G27" s="306"/>
      <c r="H27" s="307"/>
      <c r="I27" s="115">
        <f t="shared" ref="I27:I34" si="1">H27*F$114</f>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c r="G29" s="306"/>
      <c r="H29" s="307">
        <v>715314</v>
      </c>
      <c r="I29" s="115">
        <v>0</v>
      </c>
      <c r="J29" s="307">
        <v>0</v>
      </c>
      <c r="K29" s="308">
        <f t="shared" si="0"/>
        <v>715314</v>
      </c>
    </row>
    <row r="30" spans="1:11" ht="18" customHeight="1" x14ac:dyDescent="0.4">
      <c r="A30" s="1" t="s">
        <v>84</v>
      </c>
      <c r="B30" s="630"/>
      <c r="C30" s="631"/>
      <c r="D30" s="632"/>
      <c r="F30" s="306"/>
      <c r="G30" s="306"/>
      <c r="H30" s="307"/>
      <c r="I30" s="115">
        <f t="shared" si="1"/>
        <v>0</v>
      </c>
      <c r="J30" s="307"/>
      <c r="K30" s="308">
        <f t="shared" si="0"/>
        <v>0</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1299.5</v>
      </c>
      <c r="G36" s="310">
        <f t="shared" si="2"/>
        <v>4248</v>
      </c>
      <c r="H36" s="310">
        <f t="shared" si="2"/>
        <v>856057</v>
      </c>
      <c r="I36" s="308">
        <f t="shared" si="2"/>
        <v>41593</v>
      </c>
      <c r="J36" s="308">
        <f t="shared" si="2"/>
        <v>11215</v>
      </c>
      <c r="K36" s="308">
        <f t="shared" si="2"/>
        <v>886435</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1295.8</v>
      </c>
      <c r="G40" s="306">
        <v>47</v>
      </c>
      <c r="H40" s="307">
        <v>85474</v>
      </c>
      <c r="I40" s="115">
        <v>28207</v>
      </c>
      <c r="J40" s="307">
        <v>0</v>
      </c>
      <c r="K40" s="308">
        <f t="shared" ref="K40:K47" si="3">(H40+I40)-J40</f>
        <v>113681</v>
      </c>
    </row>
    <row r="41" spans="1:11" ht="18" customHeight="1" x14ac:dyDescent="0.4">
      <c r="A41" s="1" t="s">
        <v>88</v>
      </c>
      <c r="B41" s="635" t="s">
        <v>50</v>
      </c>
      <c r="C41" s="636"/>
      <c r="F41" s="306">
        <v>3498.8</v>
      </c>
      <c r="G41" s="306">
        <v>77</v>
      </c>
      <c r="H41" s="307">
        <v>292726</v>
      </c>
      <c r="I41" s="115">
        <v>96600</v>
      </c>
      <c r="J41" s="307">
        <v>0</v>
      </c>
      <c r="K41" s="308">
        <f t="shared" si="3"/>
        <v>389326</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4794.6000000000004</v>
      </c>
      <c r="G49" s="312">
        <f t="shared" si="4"/>
        <v>124</v>
      </c>
      <c r="H49" s="308">
        <f t="shared" si="4"/>
        <v>378200</v>
      </c>
      <c r="I49" s="308">
        <f t="shared" si="4"/>
        <v>124807</v>
      </c>
      <c r="J49" s="308">
        <f t="shared" si="4"/>
        <v>0</v>
      </c>
      <c r="K49" s="308">
        <f t="shared" si="4"/>
        <v>503007</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40" t="s">
        <v>802</v>
      </c>
      <c r="C53" s="659"/>
      <c r="D53" s="654"/>
      <c r="F53" s="306"/>
      <c r="G53" s="306"/>
      <c r="H53" s="307">
        <v>11609307</v>
      </c>
      <c r="I53" s="115">
        <v>1</v>
      </c>
      <c r="J53" s="307">
        <v>10517398</v>
      </c>
      <c r="K53" s="308">
        <f t="shared" ref="K53:K62" si="5">(H53+I53)-J53</f>
        <v>1091910</v>
      </c>
    </row>
    <row r="54" spans="1:11" ht="18" customHeight="1" x14ac:dyDescent="0.4">
      <c r="A54" s="1" t="s">
        <v>93</v>
      </c>
      <c r="B54" s="483" t="s">
        <v>803</v>
      </c>
      <c r="C54" s="401"/>
      <c r="D54" s="402"/>
      <c r="F54" s="306"/>
      <c r="G54" s="306"/>
      <c r="H54" s="307">
        <v>34972457</v>
      </c>
      <c r="I54" s="115">
        <v>0</v>
      </c>
      <c r="J54" s="307">
        <v>34910880</v>
      </c>
      <c r="K54" s="308">
        <f t="shared" si="5"/>
        <v>61577</v>
      </c>
    </row>
    <row r="55" spans="1:11" ht="18" customHeight="1" x14ac:dyDescent="0.4">
      <c r="A55" s="1" t="s">
        <v>94</v>
      </c>
      <c r="B55" s="483" t="s">
        <v>804</v>
      </c>
      <c r="C55" s="401"/>
      <c r="D55" s="402"/>
      <c r="F55" s="306"/>
      <c r="G55" s="306"/>
      <c r="H55" s="363">
        <v>5823474</v>
      </c>
      <c r="I55" s="115">
        <v>0</v>
      </c>
      <c r="J55" s="307">
        <v>5676977</v>
      </c>
      <c r="K55" s="308">
        <f t="shared" si="5"/>
        <v>146497</v>
      </c>
    </row>
    <row r="56" spans="1:11" ht="18" customHeight="1" x14ac:dyDescent="0.4">
      <c r="A56" s="1" t="s">
        <v>95</v>
      </c>
      <c r="B56" s="483" t="s">
        <v>805</v>
      </c>
      <c r="C56" s="401"/>
      <c r="D56" s="402"/>
      <c r="F56" s="306"/>
      <c r="G56" s="306"/>
      <c r="H56" s="307">
        <v>118571</v>
      </c>
      <c r="I56" s="115">
        <v>0</v>
      </c>
      <c r="J56" s="307">
        <v>0</v>
      </c>
      <c r="K56" s="308">
        <f t="shared" si="5"/>
        <v>118571</v>
      </c>
    </row>
    <row r="57" spans="1:11" ht="18" customHeight="1" x14ac:dyDescent="0.4">
      <c r="A57" s="1" t="s">
        <v>96</v>
      </c>
      <c r="B57" s="652" t="s">
        <v>806</v>
      </c>
      <c r="C57" s="653"/>
      <c r="D57" s="654"/>
      <c r="F57" s="306"/>
      <c r="G57" s="306"/>
      <c r="H57" s="307">
        <v>83200</v>
      </c>
      <c r="I57" s="115">
        <v>0</v>
      </c>
      <c r="J57" s="307">
        <v>0</v>
      </c>
      <c r="K57" s="308">
        <f t="shared" si="5"/>
        <v>83200</v>
      </c>
    </row>
    <row r="58" spans="1:11" ht="18" customHeight="1" x14ac:dyDescent="0.4">
      <c r="A58" s="1" t="s">
        <v>97</v>
      </c>
      <c r="B58" s="652" t="s">
        <v>807</v>
      </c>
      <c r="C58" s="653"/>
      <c r="D58" s="654"/>
      <c r="F58" s="306"/>
      <c r="G58" s="306">
        <v>733</v>
      </c>
      <c r="H58" s="307">
        <v>223233</v>
      </c>
      <c r="I58" s="115">
        <v>0</v>
      </c>
      <c r="J58" s="307">
        <v>0</v>
      </c>
      <c r="K58" s="308">
        <f t="shared" si="5"/>
        <v>223233</v>
      </c>
    </row>
    <row r="59" spans="1:11" ht="18" customHeight="1" x14ac:dyDescent="0.4">
      <c r="A59" s="1" t="s">
        <v>98</v>
      </c>
      <c r="B59" s="483" t="s">
        <v>808</v>
      </c>
      <c r="C59" s="401"/>
      <c r="D59" s="402"/>
      <c r="F59" s="306"/>
      <c r="G59" s="306">
        <v>2029</v>
      </c>
      <c r="H59" s="307">
        <v>837158</v>
      </c>
      <c r="I59" s="115">
        <v>0</v>
      </c>
      <c r="J59" s="307">
        <v>126508</v>
      </c>
      <c r="K59" s="308">
        <f t="shared" si="5"/>
        <v>710650</v>
      </c>
    </row>
    <row r="60" spans="1:11" ht="18" customHeight="1" x14ac:dyDescent="0.4">
      <c r="A60" s="1" t="s">
        <v>99</v>
      </c>
      <c r="B60" s="652" t="s">
        <v>809</v>
      </c>
      <c r="C60" s="653"/>
      <c r="D60" s="654"/>
      <c r="F60" s="306"/>
      <c r="G60" s="306">
        <v>53629</v>
      </c>
      <c r="H60" s="307">
        <v>8857887</v>
      </c>
      <c r="I60" s="115">
        <v>0</v>
      </c>
      <c r="J60" s="307">
        <v>6776572</v>
      </c>
      <c r="K60" s="308">
        <f>(H60+I60)-J60</f>
        <v>2081315</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400"/>
      <c r="C62" s="401"/>
      <c r="D62" s="402"/>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0</v>
      </c>
      <c r="G64" s="310">
        <f t="shared" si="6"/>
        <v>56391</v>
      </c>
      <c r="H64" s="308">
        <f t="shared" si="6"/>
        <v>62525287</v>
      </c>
      <c r="I64" s="308">
        <f t="shared" si="6"/>
        <v>1</v>
      </c>
      <c r="J64" s="308">
        <f t="shared" si="6"/>
        <v>58008335</v>
      </c>
      <c r="K64" s="308">
        <f t="shared" si="6"/>
        <v>4516953</v>
      </c>
    </row>
    <row r="65" spans="1:11" ht="18" customHeight="1" x14ac:dyDescent="0.4">
      <c r="F65" s="113"/>
      <c r="G65" s="113"/>
      <c r="H65" s="113"/>
      <c r="I65" s="113"/>
      <c r="J65" s="113"/>
      <c r="K65" s="113"/>
    </row>
    <row r="66" spans="1:11" ht="42.75" customHeight="1" x14ac:dyDescent="0.4">
      <c r="B66" s="131">
        <f>+H54+H55+H56+H58</f>
        <v>41137735</v>
      </c>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v>32</v>
      </c>
      <c r="H77" s="307">
        <v>154956</v>
      </c>
      <c r="I77" s="115">
        <v>0</v>
      </c>
      <c r="J77" s="307">
        <v>0</v>
      </c>
      <c r="K77" s="308">
        <f>(H77+I77)-J77</f>
        <v>154956</v>
      </c>
    </row>
    <row r="78" spans="1:11" ht="18" customHeight="1" x14ac:dyDescent="0.4">
      <c r="A78" s="1" t="s">
        <v>108</v>
      </c>
      <c r="B78" s="94" t="s">
        <v>55</v>
      </c>
      <c r="F78" s="306"/>
      <c r="G78" s="306"/>
      <c r="H78" s="307"/>
      <c r="I78" s="115">
        <v>0</v>
      </c>
      <c r="J78" s="307">
        <v>0</v>
      </c>
      <c r="K78" s="308">
        <f>(H78+I78)-J78</f>
        <v>0</v>
      </c>
    </row>
    <row r="79" spans="1:11" ht="18" customHeight="1" x14ac:dyDescent="0.4">
      <c r="A79" s="1" t="s">
        <v>109</v>
      </c>
      <c r="B79" s="94" t="s">
        <v>13</v>
      </c>
      <c r="F79" s="306">
        <v>289.3</v>
      </c>
      <c r="G79" s="306">
        <v>470</v>
      </c>
      <c r="H79" s="307">
        <v>21907</v>
      </c>
      <c r="I79" s="115">
        <v>6888</v>
      </c>
      <c r="J79" s="307">
        <v>0</v>
      </c>
      <c r="K79" s="308">
        <f>(H79+I79)-J79</f>
        <v>28795</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289.3</v>
      </c>
      <c r="G82" s="411">
        <f t="shared" si="8"/>
        <v>502</v>
      </c>
      <c r="H82" s="308">
        <f t="shared" si="8"/>
        <v>176863</v>
      </c>
      <c r="I82" s="308">
        <f t="shared" si="8"/>
        <v>6888</v>
      </c>
      <c r="J82" s="308">
        <f t="shared" si="8"/>
        <v>0</v>
      </c>
      <c r="K82" s="308">
        <f t="shared" si="8"/>
        <v>183751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v>155</v>
      </c>
      <c r="G88" s="306">
        <v>4686</v>
      </c>
      <c r="H88" s="307">
        <v>36058</v>
      </c>
      <c r="I88" s="115">
        <v>2399</v>
      </c>
      <c r="J88" s="307">
        <v>0</v>
      </c>
      <c r="K88" s="308">
        <f t="shared" si="10"/>
        <v>38457</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v>59</v>
      </c>
      <c r="G91" s="306"/>
      <c r="H91" s="307">
        <v>1915</v>
      </c>
      <c r="I91" s="115">
        <v>0</v>
      </c>
      <c r="J91" s="307">
        <v>0</v>
      </c>
      <c r="K91" s="308">
        <f t="shared" si="10"/>
        <v>1915</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214</v>
      </c>
      <c r="G98" s="310">
        <f t="shared" si="11"/>
        <v>4686</v>
      </c>
      <c r="H98" s="351">
        <f t="shared" si="11"/>
        <v>37973</v>
      </c>
      <c r="I98" s="351">
        <f t="shared" si="11"/>
        <v>2399</v>
      </c>
      <c r="J98" s="351">
        <f t="shared" si="11"/>
        <v>0</v>
      </c>
      <c r="K98" s="351">
        <f t="shared" si="11"/>
        <v>40372</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4576</v>
      </c>
      <c r="G102" s="306"/>
      <c r="H102" s="307">
        <v>235692</v>
      </c>
      <c r="I102" s="115">
        <v>155556</v>
      </c>
      <c r="J102" s="307">
        <v>0</v>
      </c>
      <c r="K102" s="308">
        <f>(H102+I102)-J102</f>
        <v>391248</v>
      </c>
    </row>
    <row r="103" spans="1:11" ht="18" customHeight="1" x14ac:dyDescent="0.4">
      <c r="A103" s="1" t="s">
        <v>132</v>
      </c>
      <c r="B103" s="635" t="s">
        <v>62</v>
      </c>
      <c r="C103" s="635"/>
      <c r="F103" s="306"/>
      <c r="G103" s="306"/>
      <c r="H103" s="307"/>
      <c r="I103" s="115">
        <v>0</v>
      </c>
      <c r="J103" s="307"/>
      <c r="K103" s="308">
        <f>(H103+I103)-J103</f>
        <v>0</v>
      </c>
    </row>
    <row r="104" spans="1:11" ht="18" customHeight="1" x14ac:dyDescent="0.4">
      <c r="A104" s="1" t="s">
        <v>128</v>
      </c>
      <c r="B104" s="655"/>
      <c r="C104" s="653"/>
      <c r="D104" s="654"/>
      <c r="F104" s="306"/>
      <c r="G104" s="306"/>
      <c r="H104" s="307">
        <v>1061</v>
      </c>
      <c r="I104" s="115">
        <v>0</v>
      </c>
      <c r="J104" s="307">
        <v>0</v>
      </c>
      <c r="K104" s="308">
        <f>(H104+I104)-J104</f>
        <v>1061</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4576</v>
      </c>
      <c r="G108" s="310">
        <f t="shared" si="12"/>
        <v>0</v>
      </c>
      <c r="H108" s="308">
        <f t="shared" si="12"/>
        <v>236753</v>
      </c>
      <c r="I108" s="308">
        <f t="shared" si="12"/>
        <v>155556</v>
      </c>
      <c r="J108" s="308">
        <f t="shared" si="12"/>
        <v>0</v>
      </c>
      <c r="K108" s="308">
        <f t="shared" si="12"/>
        <v>392309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6375000</v>
      </c>
      <c r="G111" s="546"/>
    </row>
    <row r="112" spans="1:11" ht="18" customHeight="1" x14ac:dyDescent="0.4">
      <c r="B112" s="95"/>
      <c r="E112" s="95"/>
    </row>
    <row r="113" spans="1:7" ht="18" customHeight="1" x14ac:dyDescent="0.4">
      <c r="A113" s="98"/>
      <c r="B113" s="95" t="s">
        <v>15</v>
      </c>
    </row>
    <row r="114" spans="1:7" ht="18" customHeight="1" x14ac:dyDescent="0.4">
      <c r="A114" s="1" t="s">
        <v>171</v>
      </c>
      <c r="B114" s="94" t="s">
        <v>35</v>
      </c>
      <c r="F114" s="317">
        <v>0.66</v>
      </c>
      <c r="G114" s="546"/>
    </row>
    <row r="115" spans="1:7" ht="18" customHeight="1" x14ac:dyDescent="0.4">
      <c r="A115" s="1"/>
      <c r="B115" s="95"/>
    </row>
    <row r="116" spans="1:7" ht="18" customHeight="1" x14ac:dyDescent="0.4">
      <c r="A116" s="1" t="s">
        <v>170</v>
      </c>
      <c r="B116" s="95" t="s">
        <v>16</v>
      </c>
    </row>
    <row r="117" spans="1:7" ht="18" customHeight="1" x14ac:dyDescent="0.4">
      <c r="A117" s="1" t="s">
        <v>172</v>
      </c>
      <c r="B117" s="94" t="s">
        <v>17</v>
      </c>
      <c r="F117" s="307">
        <f>378467*1000</f>
        <v>378467000</v>
      </c>
    </row>
    <row r="118" spans="1:7" ht="18" customHeight="1" x14ac:dyDescent="0.4">
      <c r="A118" s="1" t="s">
        <v>173</v>
      </c>
      <c r="B118" t="s">
        <v>18</v>
      </c>
      <c r="F118" s="307">
        <f>SUM(24717+5340)*1000</f>
        <v>30057000</v>
      </c>
    </row>
    <row r="119" spans="1:7" ht="18" customHeight="1" x14ac:dyDescent="0.4">
      <c r="A119" s="1" t="s">
        <v>174</v>
      </c>
      <c r="B119" s="95" t="s">
        <v>19</v>
      </c>
      <c r="F119" s="308">
        <f>SUM(F117:F118)</f>
        <v>408524000</v>
      </c>
    </row>
    <row r="120" spans="1:7" ht="18" customHeight="1" x14ac:dyDescent="0.4">
      <c r="A120" s="1"/>
      <c r="B120" s="95"/>
    </row>
    <row r="121" spans="1:7" ht="18" customHeight="1" x14ac:dyDescent="0.4">
      <c r="A121" s="1" t="s">
        <v>167</v>
      </c>
      <c r="B121" s="95" t="s">
        <v>36</v>
      </c>
      <c r="F121" s="307">
        <v>398520000</v>
      </c>
      <c r="G121" s="94"/>
    </row>
    <row r="122" spans="1:7" ht="18" customHeight="1" x14ac:dyDescent="0.4">
      <c r="A122" s="1"/>
    </row>
    <row r="123" spans="1:7" ht="18" customHeight="1" x14ac:dyDescent="0.4">
      <c r="A123" s="1" t="s">
        <v>175</v>
      </c>
      <c r="B123" s="95" t="s">
        <v>20</v>
      </c>
      <c r="F123" s="307">
        <f>+F119-F121</f>
        <v>10004000</v>
      </c>
      <c r="G123" s="94"/>
    </row>
    <row r="124" spans="1:7" ht="18" customHeight="1" x14ac:dyDescent="0.4">
      <c r="A124" s="1"/>
    </row>
    <row r="125" spans="1:7" ht="18" customHeight="1" x14ac:dyDescent="0.4">
      <c r="A125" s="1" t="s">
        <v>176</v>
      </c>
      <c r="B125" s="95" t="s">
        <v>21</v>
      </c>
      <c r="F125" s="547">
        <v>-515000</v>
      </c>
      <c r="G125" s="94"/>
    </row>
    <row r="126" spans="1:7" ht="18" customHeight="1" x14ac:dyDescent="0.4">
      <c r="A126" s="1"/>
    </row>
    <row r="127" spans="1:7" ht="18" customHeight="1" x14ac:dyDescent="0.4">
      <c r="A127" s="1" t="s">
        <v>177</v>
      </c>
      <c r="B127" s="95" t="s">
        <v>22</v>
      </c>
      <c r="F127" s="307">
        <f>+F123+F125</f>
        <v>9489000</v>
      </c>
      <c r="G127" s="94"/>
    </row>
    <row r="128" spans="1:7"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v>50.5</v>
      </c>
      <c r="G132" s="306"/>
      <c r="H132" s="307">
        <v>52556</v>
      </c>
      <c r="I132" s="115">
        <v>25279</v>
      </c>
      <c r="J132" s="307">
        <v>10610</v>
      </c>
      <c r="K132" s="308">
        <f>(H132+I132)-J132</f>
        <v>67225</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50.5</v>
      </c>
      <c r="G137" s="310">
        <v>155</v>
      </c>
      <c r="H137" s="308">
        <f t="shared" si="13"/>
        <v>52556</v>
      </c>
      <c r="I137" s="308">
        <f t="shared" si="13"/>
        <v>25279</v>
      </c>
      <c r="J137" s="308">
        <f t="shared" si="13"/>
        <v>10610</v>
      </c>
      <c r="K137" s="308">
        <f t="shared" si="13"/>
        <v>67225</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1299.5</v>
      </c>
      <c r="G141" s="109">
        <f t="shared" si="14"/>
        <v>4248</v>
      </c>
      <c r="H141" s="217">
        <f t="shared" si="14"/>
        <v>856057</v>
      </c>
      <c r="I141" s="217">
        <f t="shared" si="14"/>
        <v>41593</v>
      </c>
      <c r="J141" s="217">
        <f t="shared" si="14"/>
        <v>11215</v>
      </c>
      <c r="K141" s="217">
        <f t="shared" si="14"/>
        <v>886435</v>
      </c>
    </row>
    <row r="142" spans="1:11" ht="18" customHeight="1" x14ac:dyDescent="0.4">
      <c r="A142" s="1" t="s">
        <v>142</v>
      </c>
      <c r="B142" s="95" t="s">
        <v>65</v>
      </c>
      <c r="F142" s="109">
        <f t="shared" ref="F142:K142" si="15">F49</f>
        <v>4794.6000000000004</v>
      </c>
      <c r="G142" s="109">
        <f t="shared" si="15"/>
        <v>124</v>
      </c>
      <c r="H142" s="217">
        <f t="shared" si="15"/>
        <v>378200</v>
      </c>
      <c r="I142" s="217">
        <f t="shared" si="15"/>
        <v>124807</v>
      </c>
      <c r="J142" s="217">
        <f t="shared" si="15"/>
        <v>0</v>
      </c>
      <c r="K142" s="217">
        <f t="shared" si="15"/>
        <v>503007</v>
      </c>
    </row>
    <row r="143" spans="1:11" ht="18" customHeight="1" x14ac:dyDescent="0.4">
      <c r="A143" s="1" t="s">
        <v>144</v>
      </c>
      <c r="B143" s="95" t="s">
        <v>66</v>
      </c>
      <c r="F143" s="109">
        <f t="shared" ref="F143:K143" si="16">F64</f>
        <v>0</v>
      </c>
      <c r="G143" s="109">
        <f t="shared" si="16"/>
        <v>56391</v>
      </c>
      <c r="H143" s="217">
        <f t="shared" si="16"/>
        <v>62525287</v>
      </c>
      <c r="I143" s="217">
        <f t="shared" si="16"/>
        <v>1</v>
      </c>
      <c r="J143" s="217">
        <f t="shared" si="16"/>
        <v>58008335</v>
      </c>
      <c r="K143" s="217">
        <f t="shared" si="16"/>
        <v>4516953</v>
      </c>
    </row>
    <row r="144" spans="1:11" ht="18" customHeight="1" x14ac:dyDescent="0.4">
      <c r="A144" s="1" t="s">
        <v>146</v>
      </c>
      <c r="B144" s="95" t="s">
        <v>67</v>
      </c>
      <c r="F144" s="109">
        <f t="shared" ref="F144:K144" si="17">F74</f>
        <v>0</v>
      </c>
      <c r="G144" s="109">
        <f t="shared" si="17"/>
        <v>0</v>
      </c>
      <c r="H144" s="217">
        <f t="shared" si="17"/>
        <v>0</v>
      </c>
      <c r="I144" s="217">
        <f t="shared" si="17"/>
        <v>0</v>
      </c>
      <c r="J144" s="217">
        <f t="shared" si="17"/>
        <v>0</v>
      </c>
      <c r="K144" s="217">
        <f t="shared" si="17"/>
        <v>0</v>
      </c>
    </row>
    <row r="145" spans="1:11" ht="18" customHeight="1" x14ac:dyDescent="0.4">
      <c r="A145" s="1" t="s">
        <v>148</v>
      </c>
      <c r="B145" s="95" t="s">
        <v>68</v>
      </c>
      <c r="F145" s="109">
        <f t="shared" ref="F145:K145" si="18">F82</f>
        <v>289.3</v>
      </c>
      <c r="G145" s="109">
        <f t="shared" si="18"/>
        <v>502</v>
      </c>
      <c r="H145" s="217">
        <f t="shared" si="18"/>
        <v>176863</v>
      </c>
      <c r="I145" s="217">
        <f t="shared" si="18"/>
        <v>6888</v>
      </c>
      <c r="J145" s="217">
        <f t="shared" si="18"/>
        <v>0</v>
      </c>
      <c r="K145" s="217">
        <f t="shared" si="18"/>
        <v>183751</v>
      </c>
    </row>
    <row r="146" spans="1:11" ht="18" customHeight="1" x14ac:dyDescent="0.4">
      <c r="A146" s="1" t="s">
        <v>150</v>
      </c>
      <c r="B146" s="95" t="s">
        <v>69</v>
      </c>
      <c r="F146" s="109">
        <f t="shared" ref="F146:K146" si="19">F98</f>
        <v>214</v>
      </c>
      <c r="G146" s="109">
        <f t="shared" si="19"/>
        <v>4686</v>
      </c>
      <c r="H146" s="217">
        <f t="shared" si="19"/>
        <v>37973</v>
      </c>
      <c r="I146" s="217">
        <f t="shared" si="19"/>
        <v>2399</v>
      </c>
      <c r="J146" s="217">
        <f t="shared" si="19"/>
        <v>0</v>
      </c>
      <c r="K146" s="217">
        <f t="shared" si="19"/>
        <v>40372</v>
      </c>
    </row>
    <row r="147" spans="1:11" ht="18" customHeight="1" x14ac:dyDescent="0.4">
      <c r="A147" s="1" t="s">
        <v>153</v>
      </c>
      <c r="B147" s="95" t="s">
        <v>61</v>
      </c>
      <c r="F147" s="310">
        <f t="shared" ref="F147:K147" si="20">F108</f>
        <v>4576</v>
      </c>
      <c r="G147" s="310">
        <f t="shared" si="20"/>
        <v>0</v>
      </c>
      <c r="H147" s="351">
        <f t="shared" si="20"/>
        <v>236753</v>
      </c>
      <c r="I147" s="351">
        <f t="shared" si="20"/>
        <v>155556</v>
      </c>
      <c r="J147" s="351">
        <f t="shared" si="20"/>
        <v>0</v>
      </c>
      <c r="K147" s="351">
        <f t="shared" si="20"/>
        <v>392309</v>
      </c>
    </row>
    <row r="148" spans="1:11" ht="18" customHeight="1" x14ac:dyDescent="0.4">
      <c r="A148" s="1" t="s">
        <v>155</v>
      </c>
      <c r="B148" s="95" t="s">
        <v>70</v>
      </c>
      <c r="F148" s="110" t="s">
        <v>73</v>
      </c>
      <c r="G148" s="110" t="s">
        <v>73</v>
      </c>
      <c r="H148" s="111" t="s">
        <v>73</v>
      </c>
      <c r="I148" s="111" t="s">
        <v>73</v>
      </c>
      <c r="J148" s="111" t="s">
        <v>73</v>
      </c>
      <c r="K148" s="351">
        <f>F111</f>
        <v>6375000</v>
      </c>
    </row>
    <row r="149" spans="1:11" ht="18" customHeight="1" x14ac:dyDescent="0.4">
      <c r="A149" s="1" t="s">
        <v>163</v>
      </c>
      <c r="B149" s="95" t="s">
        <v>71</v>
      </c>
      <c r="F149" s="310">
        <f t="shared" ref="F149:K149" si="21">F137</f>
        <v>50.5</v>
      </c>
      <c r="G149" s="310">
        <f t="shared" si="21"/>
        <v>155</v>
      </c>
      <c r="H149" s="351">
        <f t="shared" si="21"/>
        <v>52556</v>
      </c>
      <c r="I149" s="351">
        <f t="shared" si="21"/>
        <v>25279</v>
      </c>
      <c r="J149" s="351">
        <f t="shared" si="21"/>
        <v>10610</v>
      </c>
      <c r="K149" s="351">
        <f t="shared" si="21"/>
        <v>67225</v>
      </c>
    </row>
    <row r="150" spans="1:11" ht="18" customHeight="1" x14ac:dyDescent="0.4">
      <c r="A150" s="1" t="s">
        <v>185</v>
      </c>
      <c r="B150" s="95" t="s">
        <v>186</v>
      </c>
      <c r="F150" s="110" t="s">
        <v>73</v>
      </c>
      <c r="G150" s="110" t="s">
        <v>73</v>
      </c>
      <c r="H150" s="351">
        <f>H18</f>
        <v>8590507.0899999999</v>
      </c>
      <c r="I150" s="351">
        <f>I18</f>
        <v>0</v>
      </c>
      <c r="J150" s="351">
        <f>J18</f>
        <v>7119555.8799999999</v>
      </c>
      <c r="K150" s="351">
        <f>K18</f>
        <v>1470951.21</v>
      </c>
    </row>
    <row r="151" spans="1:11" ht="18" customHeight="1" x14ac:dyDescent="0.4">
      <c r="B151" s="95"/>
      <c r="F151" s="113"/>
      <c r="G151" s="113"/>
      <c r="H151" s="113"/>
      <c r="I151" s="113"/>
      <c r="J151" s="113"/>
      <c r="K151" s="113"/>
    </row>
    <row r="152" spans="1:11" ht="18" customHeight="1" x14ac:dyDescent="0.4">
      <c r="A152" s="98" t="s">
        <v>165</v>
      </c>
      <c r="B152" s="95" t="s">
        <v>26</v>
      </c>
      <c r="F152" s="114">
        <f>SUM(F141:F150)</f>
        <v>11223.900000000001</v>
      </c>
      <c r="G152" s="114">
        <f>SUM(G141:G150)</f>
        <v>66106</v>
      </c>
      <c r="H152" s="417">
        <f>SUM(H141:H150)</f>
        <v>72854196.090000004</v>
      </c>
      <c r="I152" s="417">
        <f t="shared" ref="I152:J152" si="22">SUM(I141:I150)</f>
        <v>356523</v>
      </c>
      <c r="J152" s="417">
        <f t="shared" si="22"/>
        <v>65149715.880000003</v>
      </c>
      <c r="K152" s="417">
        <f>SUM(K141:K150)</f>
        <v>14436003.210000001</v>
      </c>
    </row>
    <row r="153" spans="1:11" ht="18" customHeight="1" x14ac:dyDescent="0.4">
      <c r="K153" s="189"/>
    </row>
    <row r="154" spans="1:11" ht="18" customHeight="1" x14ac:dyDescent="0.4">
      <c r="A154" s="98" t="s">
        <v>168</v>
      </c>
      <c r="B154" s="95" t="s">
        <v>28</v>
      </c>
      <c r="F154" s="318">
        <f>K152/F121</f>
        <v>3.6224036961758507E-2</v>
      </c>
      <c r="J154" s="189"/>
      <c r="K154" s="131"/>
    </row>
    <row r="155" spans="1:11" ht="18" customHeight="1" x14ac:dyDescent="0.4">
      <c r="A155" s="98" t="s">
        <v>169</v>
      </c>
      <c r="B155" s="95" t="s">
        <v>72</v>
      </c>
      <c r="F155" s="318">
        <f>K152/F127</f>
        <v>1.5213408378122038</v>
      </c>
      <c r="G155" s="95"/>
    </row>
    <row r="156" spans="1:11" ht="18" customHeight="1" x14ac:dyDescent="0.4">
      <c r="G156" s="95"/>
    </row>
  </sheetData>
  <mergeCells count="32">
    <mergeCell ref="B135:D135"/>
    <mergeCell ref="B133:D133"/>
    <mergeCell ref="B104:D104"/>
    <mergeCell ref="B105:D105"/>
    <mergeCell ref="B106:D106"/>
    <mergeCell ref="B52:C52"/>
    <mergeCell ref="B53:D53"/>
    <mergeCell ref="B134:D134"/>
    <mergeCell ref="B103:C103"/>
    <mergeCell ref="B96:D96"/>
    <mergeCell ref="B95:D95"/>
    <mergeCell ref="B57:D57"/>
    <mergeCell ref="B94:D94"/>
    <mergeCell ref="B90:C90"/>
    <mergeCell ref="B58:D58"/>
    <mergeCell ref="B60:D60"/>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xr:uid="{D4EA264C-31A8-45D8-AA9F-C273CA347EE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4"/>
  <dimension ref="A1:K156"/>
  <sheetViews>
    <sheetView showGridLines="0" topLeftCell="A133" zoomScale="85" zoomScaleNormal="85" zoomScaleSheetLayoutView="70" workbookViewId="0">
      <selection activeCell="L145" sqref="L145"/>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27734375" customWidth="1"/>
    <col min="9" max="9" width="21.27734375" customWidth="1"/>
    <col min="10" max="10" width="19.718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444</v>
      </c>
      <c r="D5" s="798"/>
      <c r="E5" s="798"/>
      <c r="F5" s="798"/>
      <c r="G5" s="799"/>
    </row>
    <row r="6" spans="1:11" ht="18" customHeight="1" x14ac:dyDescent="0.4">
      <c r="B6" s="1" t="s">
        <v>3</v>
      </c>
      <c r="C6" s="737">
        <v>44</v>
      </c>
      <c r="D6" s="800"/>
      <c r="E6" s="800"/>
      <c r="F6" s="800"/>
      <c r="G6" s="801"/>
    </row>
    <row r="7" spans="1:11" ht="18" customHeight="1" x14ac:dyDescent="0.4">
      <c r="B7" s="1" t="s">
        <v>4</v>
      </c>
      <c r="C7" s="689">
        <v>2617.1</v>
      </c>
      <c r="D7" s="690"/>
      <c r="E7" s="690"/>
      <c r="F7" s="690"/>
      <c r="G7" s="691"/>
    </row>
    <row r="9" spans="1:11" ht="18" customHeight="1" x14ac:dyDescent="0.4">
      <c r="B9" s="1" t="s">
        <v>1</v>
      </c>
      <c r="C9" s="731" t="s">
        <v>810</v>
      </c>
      <c r="D9" s="666"/>
      <c r="E9" s="666"/>
      <c r="F9" s="666"/>
      <c r="G9" s="667"/>
    </row>
    <row r="10" spans="1:11" ht="18" customHeight="1" x14ac:dyDescent="0.4">
      <c r="B10" s="1" t="s">
        <v>2</v>
      </c>
      <c r="C10" s="733" t="s">
        <v>811</v>
      </c>
      <c r="D10" s="661"/>
      <c r="E10" s="661"/>
      <c r="F10" s="661"/>
      <c r="G10" s="662"/>
    </row>
    <row r="11" spans="1:11" ht="18" customHeight="1" x14ac:dyDescent="0.4">
      <c r="B11" s="1" t="s">
        <v>32</v>
      </c>
      <c r="C11" s="682" t="s">
        <v>812</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t="s">
        <v>813</v>
      </c>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9058292.25</v>
      </c>
      <c r="I18" s="115">
        <v>0</v>
      </c>
      <c r="J18" s="307">
        <v>7507242.2599999998</v>
      </c>
      <c r="K18" s="308">
        <f>H18-J18</f>
        <v>1551049.9900000002</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2814.5</v>
      </c>
      <c r="G21" s="306">
        <v>46007</v>
      </c>
      <c r="H21" s="307">
        <v>174934.0642071621</v>
      </c>
      <c r="I21" s="115">
        <v>111260.46098385843</v>
      </c>
      <c r="J21" s="307"/>
      <c r="K21" s="308">
        <v>286194.52519102051</v>
      </c>
    </row>
    <row r="22" spans="1:11" ht="18" customHeight="1" x14ac:dyDescent="0.4">
      <c r="A22" s="1" t="s">
        <v>76</v>
      </c>
      <c r="B22" t="s">
        <v>6</v>
      </c>
      <c r="F22" s="306">
        <v>30</v>
      </c>
      <c r="G22" s="306">
        <v>192</v>
      </c>
      <c r="H22" s="307">
        <v>1496.3225925324098</v>
      </c>
      <c r="I22" s="115">
        <v>951.68166463317107</v>
      </c>
      <c r="J22" s="307"/>
      <c r="K22" s="308">
        <v>2448.0042571655808</v>
      </c>
    </row>
    <row r="23" spans="1:11" ht="18" customHeight="1" x14ac:dyDescent="0.4">
      <c r="A23" s="1" t="s">
        <v>77</v>
      </c>
      <c r="B23" t="s">
        <v>43</v>
      </c>
      <c r="F23" s="306">
        <v>91</v>
      </c>
      <c r="G23" s="306">
        <v>630</v>
      </c>
      <c r="H23" s="307">
        <v>24402.452020551245</v>
      </c>
      <c r="I23" s="115">
        <v>15520.293736089057</v>
      </c>
      <c r="J23" s="307"/>
      <c r="K23" s="308">
        <v>39922.745756640303</v>
      </c>
    </row>
    <row r="24" spans="1:11" ht="18" customHeight="1" x14ac:dyDescent="0.4">
      <c r="A24" s="1" t="s">
        <v>78</v>
      </c>
      <c r="B24" t="s">
        <v>44</v>
      </c>
      <c r="F24" s="306"/>
      <c r="G24" s="306"/>
      <c r="H24" s="307"/>
      <c r="I24" s="115">
        <v>0</v>
      </c>
      <c r="J24" s="307"/>
      <c r="K24" s="308">
        <v>0</v>
      </c>
    </row>
    <row r="25" spans="1:11" ht="18" customHeight="1" x14ac:dyDescent="0.4">
      <c r="A25" s="1" t="s">
        <v>79</v>
      </c>
      <c r="B25" t="s">
        <v>5</v>
      </c>
      <c r="F25" s="306">
        <v>356.5</v>
      </c>
      <c r="G25" s="306">
        <v>10306</v>
      </c>
      <c r="H25" s="307">
        <v>38943.147202632288</v>
      </c>
      <c r="I25" s="115">
        <v>24768.375042130483</v>
      </c>
      <c r="J25" s="307"/>
      <c r="K25" s="308">
        <v>63711.522244762775</v>
      </c>
    </row>
    <row r="26" spans="1:11" ht="18" customHeight="1" x14ac:dyDescent="0.4">
      <c r="A26" s="1" t="s">
        <v>80</v>
      </c>
      <c r="B26" t="s">
        <v>45</v>
      </c>
      <c r="F26" s="306"/>
      <c r="G26" s="306"/>
      <c r="H26" s="307"/>
      <c r="I26" s="115">
        <v>0</v>
      </c>
      <c r="J26" s="307"/>
      <c r="K26" s="308">
        <v>0</v>
      </c>
    </row>
    <row r="27" spans="1:11" ht="18" customHeight="1" x14ac:dyDescent="0.4">
      <c r="A27" s="1" t="s">
        <v>81</v>
      </c>
      <c r="B27" t="s">
        <v>455</v>
      </c>
      <c r="F27" s="306"/>
      <c r="G27" s="306"/>
      <c r="H27" s="307"/>
      <c r="I27" s="115">
        <v>0</v>
      </c>
      <c r="J27" s="307"/>
      <c r="K27" s="308">
        <v>0</v>
      </c>
    </row>
    <row r="28" spans="1:11" ht="18" customHeight="1" x14ac:dyDescent="0.4">
      <c r="A28" s="1" t="s">
        <v>82</v>
      </c>
      <c r="B28" t="s">
        <v>47</v>
      </c>
      <c r="F28" s="306"/>
      <c r="G28" s="306"/>
      <c r="H28" s="307"/>
      <c r="I28" s="115">
        <v>0</v>
      </c>
      <c r="J28" s="307"/>
      <c r="K28" s="308">
        <v>0</v>
      </c>
    </row>
    <row r="29" spans="1:11" ht="18" customHeight="1" x14ac:dyDescent="0.4">
      <c r="A29" s="1" t="s">
        <v>83</v>
      </c>
      <c r="B29" t="s">
        <v>48</v>
      </c>
      <c r="F29" s="306">
        <v>2080</v>
      </c>
      <c r="G29" s="306">
        <v>177</v>
      </c>
      <c r="H29" s="307">
        <v>265647.21947130165</v>
      </c>
      <c r="I29" s="115">
        <v>168955.27026946624</v>
      </c>
      <c r="J29" s="307"/>
      <c r="K29" s="308">
        <v>434602.48974076787</v>
      </c>
    </row>
    <row r="30" spans="1:11" ht="18" customHeight="1" x14ac:dyDescent="0.4">
      <c r="A30" s="1" t="s">
        <v>84</v>
      </c>
      <c r="B30" t="s">
        <v>506</v>
      </c>
      <c r="F30" s="306">
        <v>5598.2000000000007</v>
      </c>
      <c r="G30" s="338">
        <v>3175</v>
      </c>
      <c r="H30" s="307">
        <v>139028.68</v>
      </c>
      <c r="I30" s="115">
        <v>88424.144816410408</v>
      </c>
      <c r="J30" s="307"/>
      <c r="K30" s="308">
        <v>227452.8248164104</v>
      </c>
    </row>
    <row r="31" spans="1:11" ht="18" customHeight="1" x14ac:dyDescent="0.4">
      <c r="A31" s="1" t="s">
        <v>133</v>
      </c>
      <c r="B31" s="630"/>
      <c r="C31" s="631"/>
      <c r="D31" s="632"/>
      <c r="F31" s="306"/>
      <c r="G31" s="306"/>
      <c r="H31" s="307"/>
      <c r="I31" s="115">
        <v>0</v>
      </c>
      <c r="J31" s="307"/>
      <c r="K31" s="308">
        <v>0</v>
      </c>
    </row>
    <row r="32" spans="1:11" ht="18" customHeight="1" x14ac:dyDescent="0.4">
      <c r="A32" s="1" t="s">
        <v>134</v>
      </c>
      <c r="B32" s="394"/>
      <c r="C32" s="395"/>
      <c r="D32" s="396"/>
      <c r="F32" s="306"/>
      <c r="G32" s="306"/>
      <c r="H32" s="307"/>
      <c r="I32" s="115">
        <v>0</v>
      </c>
      <c r="J32" s="307"/>
      <c r="K32" s="308">
        <v>0</v>
      </c>
    </row>
    <row r="33" spans="1:11" ht="18" customHeight="1" x14ac:dyDescent="0.4">
      <c r="A33" s="1" t="s">
        <v>135</v>
      </c>
      <c r="B33" s="394"/>
      <c r="C33" s="395"/>
      <c r="D33" s="396"/>
      <c r="F33" s="306"/>
      <c r="G33" s="306"/>
      <c r="H33" s="307"/>
      <c r="I33" s="115">
        <v>0</v>
      </c>
      <c r="J33" s="307"/>
      <c r="K33" s="308">
        <v>0</v>
      </c>
    </row>
    <row r="34" spans="1:11" ht="18" customHeight="1" x14ac:dyDescent="0.4">
      <c r="A34" s="1" t="s">
        <v>136</v>
      </c>
      <c r="B34" s="630"/>
      <c r="C34" s="631"/>
      <c r="D34" s="632"/>
      <c r="F34" s="306"/>
      <c r="G34" s="306"/>
      <c r="H34" s="307"/>
      <c r="I34" s="115">
        <v>0</v>
      </c>
      <c r="J34" s="307"/>
      <c r="K34" s="308">
        <v>0</v>
      </c>
    </row>
    <row r="35" spans="1:11" ht="18" customHeight="1" x14ac:dyDescent="0.4">
      <c r="K35" s="397"/>
    </row>
    <row r="36" spans="1:11" ht="18" customHeight="1" x14ac:dyDescent="0.4">
      <c r="A36" s="98" t="s">
        <v>137</v>
      </c>
      <c r="B36" s="95" t="s">
        <v>138</v>
      </c>
      <c r="E36" s="95" t="s">
        <v>7</v>
      </c>
      <c r="F36" s="310">
        <v>10970.2</v>
      </c>
      <c r="G36" s="310">
        <v>60487</v>
      </c>
      <c r="H36" s="310">
        <v>644451.88549417967</v>
      </c>
      <c r="I36" s="308">
        <v>409880.22651258775</v>
      </c>
      <c r="J36" s="308">
        <v>0</v>
      </c>
      <c r="K36" s="308">
        <v>1054332.1120067674</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153425.72701813059</v>
      </c>
      <c r="G40" s="306">
        <v>2615</v>
      </c>
      <c r="H40" s="307">
        <v>5859613.4559154799</v>
      </c>
      <c r="I40" s="115">
        <v>0</v>
      </c>
      <c r="J40" s="307"/>
      <c r="K40" s="308">
        <v>5859613.4559154799</v>
      </c>
    </row>
    <row r="41" spans="1:11" ht="18" customHeight="1" x14ac:dyDescent="0.4">
      <c r="A41" s="1" t="s">
        <v>88</v>
      </c>
      <c r="B41" s="635" t="s">
        <v>50</v>
      </c>
      <c r="C41" s="636"/>
      <c r="F41" s="306">
        <v>38157.94999999999</v>
      </c>
      <c r="G41" s="306"/>
      <c r="H41" s="307">
        <v>691603.40000000014</v>
      </c>
      <c r="I41" s="115">
        <v>0</v>
      </c>
      <c r="J41" s="307"/>
      <c r="K41" s="308">
        <v>691603.40000000014</v>
      </c>
    </row>
    <row r="42" spans="1:11" ht="18" customHeight="1" x14ac:dyDescent="0.4">
      <c r="A42" s="1" t="s">
        <v>89</v>
      </c>
      <c r="B42" s="94" t="s">
        <v>11</v>
      </c>
      <c r="F42" s="306">
        <v>919</v>
      </c>
      <c r="G42" s="306">
        <v>2330</v>
      </c>
      <c r="H42" s="307">
        <v>31349.024782140154</v>
      </c>
      <c r="I42" s="115">
        <v>0</v>
      </c>
      <c r="J42" s="307">
        <v>0</v>
      </c>
      <c r="K42" s="308">
        <v>31349.024782140154</v>
      </c>
    </row>
    <row r="43" spans="1:11" ht="18" customHeight="1" x14ac:dyDescent="0.4">
      <c r="A43" s="1" t="s">
        <v>90</v>
      </c>
      <c r="B43" s="94" t="s">
        <v>10</v>
      </c>
      <c r="F43" s="306"/>
      <c r="G43" s="306"/>
      <c r="H43" s="307"/>
      <c r="I43" s="115">
        <v>0</v>
      </c>
      <c r="J43" s="307"/>
      <c r="K43" s="308">
        <v>0</v>
      </c>
    </row>
    <row r="44" spans="1:11" ht="18" customHeight="1" x14ac:dyDescent="0.4">
      <c r="A44" s="1" t="s">
        <v>91</v>
      </c>
      <c r="B44" s="630"/>
      <c r="C44" s="631"/>
      <c r="D44" s="632"/>
      <c r="F44" s="311"/>
      <c r="G44" s="306"/>
      <c r="H44" s="311"/>
      <c r="I44" s="116">
        <v>0</v>
      </c>
      <c r="J44" s="311"/>
      <c r="K44" s="353">
        <v>0</v>
      </c>
    </row>
    <row r="45" spans="1:11" ht="18" customHeight="1" x14ac:dyDescent="0.4">
      <c r="A45" s="1" t="s">
        <v>139</v>
      </c>
      <c r="B45" s="630"/>
      <c r="C45" s="631"/>
      <c r="D45" s="632"/>
      <c r="F45" s="306"/>
      <c r="G45" s="306"/>
      <c r="H45" s="307"/>
      <c r="I45" s="115">
        <v>0</v>
      </c>
      <c r="J45" s="307"/>
      <c r="K45" s="308">
        <v>0</v>
      </c>
    </row>
    <row r="46" spans="1:11" ht="18" customHeight="1" x14ac:dyDescent="0.4">
      <c r="A46" s="1" t="s">
        <v>140</v>
      </c>
      <c r="B46" s="630"/>
      <c r="C46" s="631"/>
      <c r="D46" s="632"/>
      <c r="F46" s="306"/>
      <c r="G46" s="306"/>
      <c r="H46" s="307"/>
      <c r="I46" s="115">
        <v>0</v>
      </c>
      <c r="J46" s="307"/>
      <c r="K46" s="308">
        <v>0</v>
      </c>
    </row>
    <row r="47" spans="1:11" ht="18" customHeight="1" x14ac:dyDescent="0.4">
      <c r="A47" s="1" t="s">
        <v>141</v>
      </c>
      <c r="B47" s="630"/>
      <c r="C47" s="631"/>
      <c r="D47" s="632"/>
      <c r="F47" s="306"/>
      <c r="G47" s="306"/>
      <c r="H47" s="307"/>
      <c r="I47" s="115">
        <v>0</v>
      </c>
      <c r="J47" s="307"/>
      <c r="K47" s="308">
        <v>0</v>
      </c>
    </row>
    <row r="49" spans="1:11" ht="18" customHeight="1" x14ac:dyDescent="0.4">
      <c r="A49" s="98" t="s">
        <v>142</v>
      </c>
      <c r="B49" s="95" t="s">
        <v>143</v>
      </c>
      <c r="E49" s="95" t="s">
        <v>7</v>
      </c>
      <c r="F49" s="312">
        <v>192502.67701813058</v>
      </c>
      <c r="G49" s="312">
        <v>4945</v>
      </c>
      <c r="H49" s="308">
        <v>6582565.8806976201</v>
      </c>
      <c r="I49" s="308">
        <v>0</v>
      </c>
      <c r="J49" s="308">
        <v>0</v>
      </c>
      <c r="K49" s="308">
        <v>6582565.8806976201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802" t="s">
        <v>507</v>
      </c>
      <c r="C53" s="803"/>
      <c r="D53" s="804"/>
      <c r="F53" s="311">
        <v>12480</v>
      </c>
      <c r="G53" s="311">
        <v>2363</v>
      </c>
      <c r="H53" s="352">
        <v>1972318.4353999998</v>
      </c>
      <c r="I53" s="115">
        <v>0</v>
      </c>
      <c r="J53" s="307">
        <v>1480592</v>
      </c>
      <c r="K53" s="308">
        <v>491726.43539999984</v>
      </c>
    </row>
    <row r="54" spans="1:11" ht="18" customHeight="1" x14ac:dyDescent="0.4">
      <c r="A54" s="1" t="s">
        <v>93</v>
      </c>
      <c r="B54" s="548" t="s">
        <v>508</v>
      </c>
      <c r="C54" s="549"/>
      <c r="D54" s="550"/>
      <c r="F54" s="306">
        <v>8499.4000000000015</v>
      </c>
      <c r="G54" s="311">
        <v>686</v>
      </c>
      <c r="H54" s="307">
        <v>645253</v>
      </c>
      <c r="I54" s="115">
        <v>0</v>
      </c>
      <c r="J54" s="307"/>
      <c r="K54" s="308">
        <v>645253</v>
      </c>
    </row>
    <row r="55" spans="1:11" ht="18" customHeight="1" x14ac:dyDescent="0.4">
      <c r="A55" s="1" t="s">
        <v>94</v>
      </c>
      <c r="B55" s="483" t="s">
        <v>445</v>
      </c>
      <c r="C55" s="551"/>
      <c r="D55" s="552"/>
      <c r="F55" s="306">
        <v>1852.3999999999999</v>
      </c>
      <c r="G55" s="311">
        <v>390</v>
      </c>
      <c r="H55" s="307">
        <v>437339</v>
      </c>
      <c r="I55" s="115">
        <v>0</v>
      </c>
      <c r="J55" s="307"/>
      <c r="K55" s="308">
        <v>437339</v>
      </c>
    </row>
    <row r="56" spans="1:11" ht="18" customHeight="1" x14ac:dyDescent="0.4">
      <c r="A56" s="1" t="s">
        <v>95</v>
      </c>
      <c r="B56" s="483" t="s">
        <v>479</v>
      </c>
      <c r="C56" s="551"/>
      <c r="D56" s="552"/>
      <c r="F56" s="306">
        <v>1787.2000000000003</v>
      </c>
      <c r="G56" s="306">
        <v>350</v>
      </c>
      <c r="H56" s="307">
        <v>85991.918000000005</v>
      </c>
      <c r="I56" s="115">
        <v>0</v>
      </c>
      <c r="J56" s="307"/>
      <c r="K56" s="308">
        <v>85991.918000000005</v>
      </c>
    </row>
    <row r="57" spans="1:11" ht="18" customHeight="1" x14ac:dyDescent="0.4">
      <c r="A57" s="1" t="s">
        <v>96</v>
      </c>
      <c r="B57" s="548" t="s">
        <v>480</v>
      </c>
      <c r="C57" s="549"/>
      <c r="D57" s="550"/>
      <c r="F57" s="306">
        <v>1063901.53</v>
      </c>
      <c r="G57" s="306">
        <v>338216</v>
      </c>
      <c r="H57" s="307">
        <v>106647248</v>
      </c>
      <c r="I57" s="115">
        <v>0</v>
      </c>
      <c r="J57" s="307">
        <v>66497604</v>
      </c>
      <c r="K57" s="308">
        <v>40149644</v>
      </c>
    </row>
    <row r="58" spans="1:11" ht="18" customHeight="1" x14ac:dyDescent="0.4">
      <c r="A58" s="1" t="s">
        <v>97</v>
      </c>
      <c r="B58" s="805" t="s">
        <v>509</v>
      </c>
      <c r="C58" s="806"/>
      <c r="D58" s="804"/>
      <c r="F58" s="311"/>
      <c r="G58" s="311">
        <v>1139</v>
      </c>
      <c r="H58" s="352">
        <v>39955.61</v>
      </c>
      <c r="I58" s="115">
        <v>0</v>
      </c>
      <c r="J58" s="352"/>
      <c r="K58" s="308">
        <v>39955.61</v>
      </c>
    </row>
    <row r="59" spans="1:11" ht="18" customHeight="1" x14ac:dyDescent="0.4">
      <c r="A59" s="1" t="s">
        <v>98</v>
      </c>
      <c r="B59" s="652" t="s">
        <v>510</v>
      </c>
      <c r="C59" s="786"/>
      <c r="D59" s="787"/>
      <c r="F59" s="311">
        <v>450</v>
      </c>
      <c r="G59" s="311">
        <v>900</v>
      </c>
      <c r="H59" s="352">
        <v>15398.712838477561</v>
      </c>
      <c r="I59" s="115">
        <v>0</v>
      </c>
      <c r="J59" s="352"/>
      <c r="K59" s="308">
        <v>15398.712838477561</v>
      </c>
    </row>
    <row r="60" spans="1:11" ht="18" customHeight="1" x14ac:dyDescent="0.4">
      <c r="A60" s="1" t="s">
        <v>99</v>
      </c>
      <c r="B60" s="548"/>
      <c r="C60" s="551"/>
      <c r="D60" s="552"/>
      <c r="F60" s="306"/>
      <c r="G60" s="306"/>
      <c r="H60" s="307"/>
      <c r="I60" s="365">
        <v>0</v>
      </c>
      <c r="J60" s="307"/>
      <c r="K60" s="308">
        <v>0</v>
      </c>
    </row>
    <row r="61" spans="1:11" ht="18" customHeight="1" x14ac:dyDescent="0.4">
      <c r="A61" s="1" t="s">
        <v>100</v>
      </c>
      <c r="B61" s="400"/>
      <c r="C61" s="401"/>
      <c r="D61" s="402"/>
      <c r="F61" s="306"/>
      <c r="G61" s="306"/>
      <c r="H61" s="307"/>
      <c r="I61" s="227">
        <v>0</v>
      </c>
      <c r="J61" s="307"/>
      <c r="K61" s="308">
        <v>0</v>
      </c>
    </row>
    <row r="62" spans="1:11" ht="18" customHeight="1" x14ac:dyDescent="0.4">
      <c r="A62" s="1" t="s">
        <v>101</v>
      </c>
      <c r="B62" s="655"/>
      <c r="C62" s="653"/>
      <c r="D62" s="654"/>
      <c r="F62" s="306"/>
      <c r="G62" s="306"/>
      <c r="H62" s="307"/>
      <c r="I62" s="227">
        <v>0</v>
      </c>
      <c r="J62" s="307"/>
      <c r="K62" s="308">
        <v>0</v>
      </c>
    </row>
    <row r="63" spans="1:11" ht="18" customHeight="1" x14ac:dyDescent="0.4">
      <c r="A63" s="1"/>
      <c r="I63" s="403"/>
    </row>
    <row r="64" spans="1:11" ht="18" customHeight="1" x14ac:dyDescent="0.4">
      <c r="A64" s="1" t="s">
        <v>144</v>
      </c>
      <c r="B64" s="95" t="s">
        <v>145</v>
      </c>
      <c r="E64" s="95" t="s">
        <v>7</v>
      </c>
      <c r="F64" s="310">
        <v>1088970.53</v>
      </c>
      <c r="G64" s="310">
        <v>344044</v>
      </c>
      <c r="H64" s="308">
        <v>109843504.67623848</v>
      </c>
      <c r="I64" s="308">
        <v>0</v>
      </c>
      <c r="J64" s="308">
        <v>67978196</v>
      </c>
      <c r="K64" s="308">
        <v>41865308.676238477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553">
        <v>5475</v>
      </c>
      <c r="G68" s="322">
        <v>18008</v>
      </c>
      <c r="H68" s="306">
        <v>685057.93011459871</v>
      </c>
      <c r="I68" s="115">
        <v>25000</v>
      </c>
      <c r="J68" s="313"/>
      <c r="K68" s="308">
        <v>710057.93011459871</v>
      </c>
    </row>
    <row r="69" spans="1:11" ht="18" customHeight="1" x14ac:dyDescent="0.4">
      <c r="A69" s="1" t="s">
        <v>104</v>
      </c>
      <c r="B69" s="94" t="s">
        <v>53</v>
      </c>
      <c r="F69" s="313"/>
      <c r="G69" s="313"/>
      <c r="H69" s="313"/>
      <c r="I69" s="115">
        <v>0</v>
      </c>
      <c r="J69" s="313"/>
      <c r="K69" s="308">
        <v>0</v>
      </c>
    </row>
    <row r="70" spans="1:11" ht="18" customHeight="1" x14ac:dyDescent="0.4">
      <c r="A70" s="1" t="s">
        <v>178</v>
      </c>
      <c r="B70" s="400"/>
      <c r="C70" s="401"/>
      <c r="D70" s="402"/>
      <c r="E70" s="95"/>
      <c r="F70" s="104"/>
      <c r="G70" s="104"/>
      <c r="H70" s="105"/>
      <c r="I70" s="115">
        <v>0</v>
      </c>
      <c r="J70" s="105"/>
      <c r="K70" s="308">
        <v>0</v>
      </c>
    </row>
    <row r="71" spans="1:11" ht="18" customHeight="1" x14ac:dyDescent="0.4">
      <c r="A71" s="1" t="s">
        <v>179</v>
      </c>
      <c r="B71" s="400"/>
      <c r="C71" s="401"/>
      <c r="D71" s="402"/>
      <c r="E71" s="95"/>
      <c r="F71" s="104"/>
      <c r="G71" s="104"/>
      <c r="H71" s="105"/>
      <c r="I71" s="115">
        <v>0</v>
      </c>
      <c r="J71" s="105"/>
      <c r="K71" s="308">
        <v>0</v>
      </c>
    </row>
    <row r="72" spans="1:11" ht="18" customHeight="1" x14ac:dyDescent="0.4">
      <c r="A72" s="1" t="s">
        <v>180</v>
      </c>
      <c r="B72" s="406"/>
      <c r="C72" s="407"/>
      <c r="D72" s="408"/>
      <c r="E72" s="95"/>
      <c r="F72" s="306"/>
      <c r="G72" s="306"/>
      <c r="H72" s="307"/>
      <c r="I72" s="115">
        <v>0</v>
      </c>
      <c r="J72" s="307"/>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5475</v>
      </c>
      <c r="G74" s="411">
        <v>18008</v>
      </c>
      <c r="H74" s="411">
        <v>685057.93011459871</v>
      </c>
      <c r="I74" s="412">
        <v>25000</v>
      </c>
      <c r="J74" s="411">
        <v>0</v>
      </c>
      <c r="K74" s="308">
        <v>710057.93011459871</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1040</v>
      </c>
      <c r="G77" s="306">
        <v>591</v>
      </c>
      <c r="H77" s="307">
        <v>159406.01205424411</v>
      </c>
      <c r="I77" s="115">
        <v>90000</v>
      </c>
      <c r="J77" s="307">
        <v>160</v>
      </c>
      <c r="K77" s="308">
        <v>249246.01205424411</v>
      </c>
    </row>
    <row r="78" spans="1:11" ht="18" customHeight="1" x14ac:dyDescent="0.4">
      <c r="A78" s="1" t="s">
        <v>108</v>
      </c>
      <c r="B78" s="94" t="s">
        <v>55</v>
      </c>
      <c r="F78" s="306"/>
      <c r="G78" s="306"/>
      <c r="H78" s="307"/>
      <c r="I78" s="115">
        <v>0</v>
      </c>
      <c r="J78" s="307"/>
      <c r="K78" s="308">
        <v>0</v>
      </c>
    </row>
    <row r="79" spans="1:11" ht="18" customHeight="1" x14ac:dyDescent="0.4">
      <c r="A79" s="1" t="s">
        <v>109</v>
      </c>
      <c r="B79" s="94" t="s">
        <v>13</v>
      </c>
      <c r="F79" s="306">
        <v>27</v>
      </c>
      <c r="G79" s="306">
        <v>171</v>
      </c>
      <c r="H79" s="307">
        <v>2759.0671646957026</v>
      </c>
      <c r="I79" s="115">
        <v>0</v>
      </c>
      <c r="J79" s="307"/>
      <c r="K79" s="308">
        <v>2759.0671646957026</v>
      </c>
    </row>
    <row r="80" spans="1:11" ht="18" customHeight="1" x14ac:dyDescent="0.4">
      <c r="A80" s="1" t="s">
        <v>110</v>
      </c>
      <c r="B80" s="94" t="s">
        <v>56</v>
      </c>
      <c r="F80" s="306"/>
      <c r="G80" s="306"/>
      <c r="H80" s="307"/>
      <c r="I80" s="115">
        <v>0</v>
      </c>
      <c r="J80" s="307"/>
      <c r="K80" s="308">
        <v>0</v>
      </c>
    </row>
    <row r="81" spans="1:11" ht="18" customHeight="1" x14ac:dyDescent="0.4">
      <c r="A81" s="1"/>
      <c r="K81" s="315"/>
    </row>
    <row r="82" spans="1:11" ht="18" customHeight="1" x14ac:dyDescent="0.4">
      <c r="A82" s="1" t="s">
        <v>148</v>
      </c>
      <c r="B82" s="95" t="s">
        <v>149</v>
      </c>
      <c r="E82" s="95" t="s">
        <v>7</v>
      </c>
      <c r="F82" s="411">
        <v>1067</v>
      </c>
      <c r="G82" s="411">
        <v>762</v>
      </c>
      <c r="H82" s="308">
        <v>162165.07921893982</v>
      </c>
      <c r="I82" s="308">
        <v>90000</v>
      </c>
      <c r="J82" s="308">
        <v>160</v>
      </c>
      <c r="K82" s="308">
        <v>252005.07921893982</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v>0</v>
      </c>
      <c r="J86" s="307"/>
      <c r="K86" s="308">
        <v>0</v>
      </c>
    </row>
    <row r="87" spans="1:11" ht="18" customHeight="1" x14ac:dyDescent="0.4">
      <c r="A87" s="1" t="s">
        <v>114</v>
      </c>
      <c r="B87" s="94" t="s">
        <v>14</v>
      </c>
      <c r="F87" s="306"/>
      <c r="G87" s="306"/>
      <c r="H87" s="307"/>
      <c r="I87" s="115">
        <v>0</v>
      </c>
      <c r="J87" s="307"/>
      <c r="K87" s="308">
        <v>0</v>
      </c>
    </row>
    <row r="88" spans="1:11" ht="18" customHeight="1" x14ac:dyDescent="0.4">
      <c r="A88" s="1" t="s">
        <v>115</v>
      </c>
      <c r="B88" s="94" t="s">
        <v>116</v>
      </c>
      <c r="F88" s="306"/>
      <c r="G88" s="306"/>
      <c r="H88" s="307">
        <v>22800</v>
      </c>
      <c r="I88" s="115">
        <v>14501.112301534888</v>
      </c>
      <c r="J88" s="307"/>
      <c r="K88" s="308">
        <v>37301.112301534886</v>
      </c>
    </row>
    <row r="89" spans="1:11" ht="18" customHeight="1" x14ac:dyDescent="0.4">
      <c r="A89" s="1" t="s">
        <v>117</v>
      </c>
      <c r="B89" s="94" t="s">
        <v>58</v>
      </c>
      <c r="F89" s="306"/>
      <c r="G89" s="306"/>
      <c r="H89" s="307"/>
      <c r="I89" s="115">
        <v>0</v>
      </c>
      <c r="J89" s="307"/>
      <c r="K89" s="308">
        <v>0</v>
      </c>
    </row>
    <row r="90" spans="1:11" ht="18" customHeight="1" x14ac:dyDescent="0.4">
      <c r="A90" s="1" t="s">
        <v>118</v>
      </c>
      <c r="B90" s="635" t="s">
        <v>59</v>
      </c>
      <c r="C90" s="636"/>
      <c r="F90" s="306"/>
      <c r="G90" s="306"/>
      <c r="H90" s="307"/>
      <c r="I90" s="115">
        <v>0</v>
      </c>
      <c r="J90" s="307"/>
      <c r="K90" s="308">
        <v>0</v>
      </c>
    </row>
    <row r="91" spans="1:11" ht="18" customHeight="1" x14ac:dyDescent="0.4">
      <c r="A91" s="1" t="s">
        <v>119</v>
      </c>
      <c r="B91" s="94" t="s">
        <v>60</v>
      </c>
      <c r="F91" s="306"/>
      <c r="G91" s="306"/>
      <c r="H91" s="307"/>
      <c r="I91" s="115">
        <v>0</v>
      </c>
      <c r="J91" s="307"/>
      <c r="K91" s="308">
        <v>0</v>
      </c>
    </row>
    <row r="92" spans="1:11" ht="18" customHeight="1" x14ac:dyDescent="0.4">
      <c r="A92" s="1" t="s">
        <v>120</v>
      </c>
      <c r="B92" s="94" t="s">
        <v>121</v>
      </c>
      <c r="F92" s="107">
        <v>362</v>
      </c>
      <c r="G92" s="107">
        <v>231</v>
      </c>
      <c r="H92" s="108">
        <v>24037.122726660898</v>
      </c>
      <c r="I92" s="115">
        <v>15287.93930110027</v>
      </c>
      <c r="J92" s="108"/>
      <c r="K92" s="308">
        <v>39325.062027761167</v>
      </c>
    </row>
    <row r="93" spans="1:11" ht="18" customHeight="1" x14ac:dyDescent="0.4">
      <c r="A93" s="1" t="s">
        <v>122</v>
      </c>
      <c r="B93" s="94" t="s">
        <v>123</v>
      </c>
      <c r="F93" s="306"/>
      <c r="G93" s="306"/>
      <c r="H93" s="307"/>
      <c r="I93" s="115">
        <v>0</v>
      </c>
      <c r="J93" s="307"/>
      <c r="K93" s="308">
        <v>0</v>
      </c>
    </row>
    <row r="94" spans="1:11" ht="18" customHeight="1" x14ac:dyDescent="0.4">
      <c r="A94" s="1" t="s">
        <v>124</v>
      </c>
      <c r="B94" s="655"/>
      <c r="C94" s="653"/>
      <c r="D94" s="654"/>
      <c r="F94" s="306"/>
      <c r="G94" s="306"/>
      <c r="H94" s="307"/>
      <c r="I94" s="115">
        <v>0</v>
      </c>
      <c r="J94" s="307"/>
      <c r="K94" s="308">
        <v>0</v>
      </c>
    </row>
    <row r="95" spans="1:11" ht="18" customHeight="1" x14ac:dyDescent="0.4">
      <c r="A95" s="1" t="s">
        <v>125</v>
      </c>
      <c r="B95" s="655"/>
      <c r="C95" s="653"/>
      <c r="D95" s="654"/>
      <c r="F95" s="306"/>
      <c r="G95" s="306"/>
      <c r="H95" s="307"/>
      <c r="I95" s="115">
        <v>0</v>
      </c>
      <c r="J95" s="307"/>
      <c r="K95" s="308">
        <v>0</v>
      </c>
    </row>
    <row r="96" spans="1:11" ht="18" customHeight="1" x14ac:dyDescent="0.4">
      <c r="A96" s="1" t="s">
        <v>126</v>
      </c>
      <c r="B96" s="655"/>
      <c r="C96" s="653"/>
      <c r="D96" s="654"/>
      <c r="F96" s="306"/>
      <c r="G96" s="306"/>
      <c r="H96" s="307"/>
      <c r="I96" s="115">
        <v>0</v>
      </c>
      <c r="J96" s="307"/>
      <c r="K96" s="308">
        <v>0</v>
      </c>
    </row>
    <row r="97" spans="1:11" ht="18" customHeight="1" x14ac:dyDescent="0.4">
      <c r="A97" s="1"/>
      <c r="B97" s="94"/>
    </row>
    <row r="98" spans="1:11" ht="18" customHeight="1" x14ac:dyDescent="0.4">
      <c r="A98" s="98" t="s">
        <v>150</v>
      </c>
      <c r="B98" s="95" t="s">
        <v>151</v>
      </c>
      <c r="E98" s="95" t="s">
        <v>7</v>
      </c>
      <c r="F98" s="310">
        <v>362</v>
      </c>
      <c r="G98" s="310">
        <v>231</v>
      </c>
      <c r="H98" s="310">
        <v>46837.122726660898</v>
      </c>
      <c r="I98" s="310">
        <v>29789.051602635158</v>
      </c>
      <c r="J98" s="310">
        <v>0</v>
      </c>
      <c r="K98" s="310">
        <v>76626.174329296045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4560</v>
      </c>
      <c r="G102" s="306"/>
      <c r="H102" s="307">
        <v>183448.00232683984</v>
      </c>
      <c r="I102" s="115">
        <v>116675.44224709376</v>
      </c>
      <c r="J102" s="307"/>
      <c r="K102" s="308">
        <v>300123.44457393361</v>
      </c>
    </row>
    <row r="103" spans="1:11" ht="18" customHeight="1" x14ac:dyDescent="0.4">
      <c r="A103" s="1" t="s">
        <v>132</v>
      </c>
      <c r="B103" s="635" t="s">
        <v>62</v>
      </c>
      <c r="C103" s="635"/>
      <c r="F103" s="306"/>
      <c r="G103" s="306"/>
      <c r="H103" s="307">
        <v>43696</v>
      </c>
      <c r="I103" s="115">
        <v>27791.254523152125</v>
      </c>
      <c r="J103" s="307"/>
      <c r="K103" s="308">
        <v>71487.254523152122</v>
      </c>
    </row>
    <row r="104" spans="1:11" ht="18" customHeight="1" x14ac:dyDescent="0.4">
      <c r="A104" s="1" t="s">
        <v>128</v>
      </c>
      <c r="B104" s="655"/>
      <c r="C104" s="653"/>
      <c r="D104" s="654"/>
      <c r="F104" s="306"/>
      <c r="G104" s="306"/>
      <c r="H104" s="307"/>
      <c r="I104" s="115">
        <v>0</v>
      </c>
      <c r="J104" s="307"/>
      <c r="K104" s="308">
        <v>0</v>
      </c>
    </row>
    <row r="105" spans="1:11" ht="18" customHeight="1" x14ac:dyDescent="0.4">
      <c r="A105" s="1" t="s">
        <v>127</v>
      </c>
      <c r="B105" s="655"/>
      <c r="C105" s="653"/>
      <c r="D105" s="654"/>
      <c r="F105" s="306"/>
      <c r="G105" s="306"/>
      <c r="H105" s="307"/>
      <c r="I105" s="115">
        <v>0</v>
      </c>
      <c r="J105" s="307"/>
      <c r="K105" s="308">
        <v>0</v>
      </c>
    </row>
    <row r="106" spans="1:11" ht="18" customHeight="1" x14ac:dyDescent="0.4">
      <c r="A106" s="1" t="s">
        <v>129</v>
      </c>
      <c r="B106" s="655"/>
      <c r="C106" s="653"/>
      <c r="D106" s="654"/>
      <c r="F106" s="306"/>
      <c r="G106" s="306"/>
      <c r="H106" s="307"/>
      <c r="I106" s="115">
        <v>0</v>
      </c>
      <c r="J106" s="307"/>
      <c r="K106" s="308">
        <v>0</v>
      </c>
    </row>
    <row r="107" spans="1:11" ht="18" customHeight="1" x14ac:dyDescent="0.4">
      <c r="B107" s="95"/>
    </row>
    <row r="108" spans="1:11" ht="18" customHeight="1" x14ac:dyDescent="0.4">
      <c r="A108" s="98" t="s">
        <v>153</v>
      </c>
      <c r="B108" s="95" t="s">
        <v>154</v>
      </c>
      <c r="E108" s="95" t="s">
        <v>7</v>
      </c>
      <c r="F108" s="310">
        <v>4560</v>
      </c>
      <c r="G108" s="310">
        <v>0</v>
      </c>
      <c r="H108" s="308">
        <v>227144.00232683984</v>
      </c>
      <c r="I108" s="308">
        <v>144466.69677024588</v>
      </c>
      <c r="J108" s="308">
        <v>0</v>
      </c>
      <c r="K108" s="308">
        <v>371610.69909708574</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2329000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0.63601369743574065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479668209.99999994</v>
      </c>
    </row>
    <row r="118" spans="1:6" ht="18" customHeight="1" x14ac:dyDescent="0.4">
      <c r="A118" s="1" t="s">
        <v>173</v>
      </c>
      <c r="B118" t="s">
        <v>18</v>
      </c>
      <c r="F118" s="307">
        <v>30623000</v>
      </c>
    </row>
    <row r="119" spans="1:6" ht="18" customHeight="1" x14ac:dyDescent="0.4">
      <c r="A119" s="1" t="s">
        <v>174</v>
      </c>
      <c r="B119" s="95" t="s">
        <v>19</v>
      </c>
      <c r="F119" s="308">
        <v>510291209.99999994</v>
      </c>
    </row>
    <row r="120" spans="1:6" ht="18" customHeight="1" x14ac:dyDescent="0.4">
      <c r="A120" s="1"/>
      <c r="B120" s="95"/>
    </row>
    <row r="121" spans="1:6" ht="18" customHeight="1" x14ac:dyDescent="0.4">
      <c r="A121" s="1" t="s">
        <v>167</v>
      </c>
      <c r="B121" s="95" t="s">
        <v>36</v>
      </c>
      <c r="F121" s="307">
        <v>514005000</v>
      </c>
    </row>
    <row r="122" spans="1:6" ht="18" customHeight="1" x14ac:dyDescent="0.4">
      <c r="A122" s="1"/>
    </row>
    <row r="123" spans="1:6" ht="18" customHeight="1" x14ac:dyDescent="0.4">
      <c r="A123" s="1" t="s">
        <v>175</v>
      </c>
      <c r="B123" s="95" t="s">
        <v>20</v>
      </c>
      <c r="F123" s="307">
        <v>-3713790.0000000596</v>
      </c>
    </row>
    <row r="124" spans="1:6" ht="18" customHeight="1" x14ac:dyDescent="0.4">
      <c r="A124" s="1"/>
    </row>
    <row r="125" spans="1:6" ht="18" customHeight="1" x14ac:dyDescent="0.4">
      <c r="A125" s="1" t="s">
        <v>176</v>
      </c>
      <c r="B125" s="95" t="s">
        <v>21</v>
      </c>
      <c r="F125" s="307">
        <v>4738789.7300000004</v>
      </c>
    </row>
    <row r="126" spans="1:6" ht="18" customHeight="1" x14ac:dyDescent="0.4">
      <c r="A126" s="1"/>
    </row>
    <row r="127" spans="1:6" ht="18" customHeight="1" x14ac:dyDescent="0.4">
      <c r="A127" s="1" t="s">
        <v>177</v>
      </c>
      <c r="B127" s="95" t="s">
        <v>22</v>
      </c>
      <c r="F127" s="307">
        <v>1024999.7299999408</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v>10970.2</v>
      </c>
      <c r="G141" s="109">
        <v>60487</v>
      </c>
      <c r="H141" s="109">
        <v>644451.88549417967</v>
      </c>
      <c r="I141" s="109">
        <v>409880.22651258775</v>
      </c>
      <c r="J141" s="109">
        <v>0</v>
      </c>
      <c r="K141" s="109">
        <v>1054332.1120067674</v>
      </c>
    </row>
    <row r="142" spans="1:11" ht="18" customHeight="1" x14ac:dyDescent="0.4">
      <c r="A142" s="1" t="s">
        <v>142</v>
      </c>
      <c r="B142" s="95" t="s">
        <v>65</v>
      </c>
      <c r="F142" s="109">
        <v>192502.67701813058</v>
      </c>
      <c r="G142" s="109">
        <v>4945</v>
      </c>
      <c r="H142" s="109">
        <v>6582565.8806976201</v>
      </c>
      <c r="I142" s="109">
        <v>0</v>
      </c>
      <c r="J142" s="109">
        <v>0</v>
      </c>
      <c r="K142" s="109">
        <v>6582565.8806976201</v>
      </c>
    </row>
    <row r="143" spans="1:11" ht="18" customHeight="1" x14ac:dyDescent="0.4">
      <c r="A143" s="1" t="s">
        <v>144</v>
      </c>
      <c r="B143" s="95" t="s">
        <v>66</v>
      </c>
      <c r="F143" s="109">
        <v>1088970.53</v>
      </c>
      <c r="G143" s="109">
        <v>344044</v>
      </c>
      <c r="H143" s="109">
        <v>109843504.67623848</v>
      </c>
      <c r="I143" s="109">
        <v>0</v>
      </c>
      <c r="J143" s="109">
        <v>67978196</v>
      </c>
      <c r="K143" s="109">
        <v>41865308.676238477</v>
      </c>
    </row>
    <row r="144" spans="1:11" ht="18" customHeight="1" x14ac:dyDescent="0.4">
      <c r="A144" s="1" t="s">
        <v>146</v>
      </c>
      <c r="B144" s="95" t="s">
        <v>67</v>
      </c>
      <c r="F144" s="109">
        <v>5475</v>
      </c>
      <c r="G144" s="109">
        <v>18008</v>
      </c>
      <c r="H144" s="109">
        <v>685057.93011459871</v>
      </c>
      <c r="I144" s="109">
        <v>25000</v>
      </c>
      <c r="J144" s="109">
        <v>0</v>
      </c>
      <c r="K144" s="109">
        <v>710057.93011459871</v>
      </c>
    </row>
    <row r="145" spans="1:11" ht="18" customHeight="1" x14ac:dyDescent="0.4">
      <c r="A145" s="1" t="s">
        <v>148</v>
      </c>
      <c r="B145" s="95" t="s">
        <v>68</v>
      </c>
      <c r="F145" s="109">
        <v>1067</v>
      </c>
      <c r="G145" s="109">
        <v>762</v>
      </c>
      <c r="H145" s="109">
        <v>162165.07921893982</v>
      </c>
      <c r="I145" s="109">
        <v>90000</v>
      </c>
      <c r="J145" s="109">
        <v>160</v>
      </c>
      <c r="K145" s="109">
        <v>252005.07921893982</v>
      </c>
    </row>
    <row r="146" spans="1:11" ht="18" customHeight="1" x14ac:dyDescent="0.4">
      <c r="A146" s="1" t="s">
        <v>150</v>
      </c>
      <c r="B146" s="95" t="s">
        <v>69</v>
      </c>
      <c r="F146" s="109">
        <v>362</v>
      </c>
      <c r="G146" s="109">
        <v>231</v>
      </c>
      <c r="H146" s="109">
        <v>46837.122726660898</v>
      </c>
      <c r="I146" s="109">
        <v>29789.051602635158</v>
      </c>
      <c r="J146" s="109">
        <v>0</v>
      </c>
      <c r="K146" s="109">
        <v>76626.174329296045</v>
      </c>
    </row>
    <row r="147" spans="1:11" ht="18" customHeight="1" x14ac:dyDescent="0.4">
      <c r="A147" s="1" t="s">
        <v>153</v>
      </c>
      <c r="B147" s="95" t="s">
        <v>61</v>
      </c>
      <c r="F147" s="310">
        <v>4560</v>
      </c>
      <c r="G147" s="310">
        <v>0</v>
      </c>
      <c r="H147" s="310">
        <v>227144.00232683984</v>
      </c>
      <c r="I147" s="310">
        <v>144466.69677024588</v>
      </c>
      <c r="J147" s="310">
        <v>0</v>
      </c>
      <c r="K147" s="310">
        <v>371610.69909708574</v>
      </c>
    </row>
    <row r="148" spans="1:11" ht="18" customHeight="1" x14ac:dyDescent="0.4">
      <c r="A148" s="1" t="s">
        <v>155</v>
      </c>
      <c r="B148" s="95" t="s">
        <v>70</v>
      </c>
      <c r="F148" s="110" t="s">
        <v>73</v>
      </c>
      <c r="G148" s="110" t="s">
        <v>73</v>
      </c>
      <c r="H148" s="111" t="s">
        <v>73</v>
      </c>
      <c r="I148" s="111" t="s">
        <v>73</v>
      </c>
      <c r="J148" s="111" t="s">
        <v>73</v>
      </c>
      <c r="K148" s="106">
        <v>2329000</v>
      </c>
    </row>
    <row r="149" spans="1:11" ht="18" customHeight="1" x14ac:dyDescent="0.4">
      <c r="A149" s="1" t="s">
        <v>163</v>
      </c>
      <c r="B149" s="95" t="s">
        <v>71</v>
      </c>
      <c r="F149" s="310">
        <v>0</v>
      </c>
      <c r="G149" s="310">
        <v>0</v>
      </c>
      <c r="H149" s="310">
        <v>0</v>
      </c>
      <c r="I149" s="310">
        <v>0</v>
      </c>
      <c r="J149" s="310">
        <v>0</v>
      </c>
      <c r="K149" s="310">
        <v>0</v>
      </c>
    </row>
    <row r="150" spans="1:11" ht="18" customHeight="1" x14ac:dyDescent="0.4">
      <c r="A150" s="1" t="s">
        <v>185</v>
      </c>
      <c r="B150" s="95" t="s">
        <v>186</v>
      </c>
      <c r="F150" s="110" t="s">
        <v>73</v>
      </c>
      <c r="G150" s="110" t="s">
        <v>73</v>
      </c>
      <c r="H150" s="307">
        <v>9058292.25</v>
      </c>
      <c r="I150" s="115">
        <v>0</v>
      </c>
      <c r="J150" s="307">
        <v>7507242.2599999998</v>
      </c>
      <c r="K150" s="308">
        <f>H150-J150</f>
        <v>1551049.9900000002</v>
      </c>
    </row>
    <row r="151" spans="1:11" ht="18" customHeight="1" x14ac:dyDescent="0.4">
      <c r="B151" s="95"/>
      <c r="F151" s="113"/>
      <c r="G151" s="113"/>
      <c r="H151" s="113"/>
      <c r="I151" s="113"/>
      <c r="J151" s="113"/>
      <c r="K151" s="113"/>
    </row>
    <row r="152" spans="1:11" ht="18" customHeight="1" x14ac:dyDescent="0.4">
      <c r="A152" s="98" t="s">
        <v>165</v>
      </c>
      <c r="B152" s="95" t="s">
        <v>26</v>
      </c>
      <c r="F152" s="114">
        <v>1303907.4070181306</v>
      </c>
      <c r="G152" s="114">
        <v>428477</v>
      </c>
      <c r="H152" s="114">
        <f>SUM(H141:H150)</f>
        <v>127250018.82681732</v>
      </c>
      <c r="I152" s="114">
        <f t="shared" ref="I152:K152" si="0">SUM(I141:I150)</f>
        <v>699135.97488546884</v>
      </c>
      <c r="J152" s="114">
        <f t="shared" si="0"/>
        <v>75485598.260000005</v>
      </c>
      <c r="K152" s="114">
        <f t="shared" si="0"/>
        <v>54792556.541702785</v>
      </c>
    </row>
    <row r="154" spans="1:11" ht="18" customHeight="1" x14ac:dyDescent="0.4">
      <c r="A154" s="98" t="s">
        <v>168</v>
      </c>
      <c r="B154" s="95" t="s">
        <v>28</v>
      </c>
      <c r="F154" s="318">
        <v>0.10657119201506363</v>
      </c>
    </row>
    <row r="155" spans="1:11" ht="18" customHeight="1" x14ac:dyDescent="0.4">
      <c r="A155" s="98" t="s">
        <v>169</v>
      </c>
      <c r="B155" s="95" t="s">
        <v>72</v>
      </c>
      <c r="F155" s="318">
        <v>53.442087786409409</v>
      </c>
      <c r="G155" s="95"/>
    </row>
    <row r="156" spans="1:11" ht="18" customHeight="1" x14ac:dyDescent="0.4">
      <c r="G156" s="95"/>
    </row>
  </sheetData>
  <mergeCells count="31">
    <mergeCell ref="B103:C103"/>
    <mergeCell ref="B96:D96"/>
    <mergeCell ref="B134:D134"/>
    <mergeCell ref="B135:D135"/>
    <mergeCell ref="B133:D133"/>
    <mergeCell ref="B104:D104"/>
    <mergeCell ref="B105:D105"/>
    <mergeCell ref="B106:D106"/>
    <mergeCell ref="B95:D95"/>
    <mergeCell ref="B94:D94"/>
    <mergeCell ref="B52:C52"/>
    <mergeCell ref="B90:C90"/>
    <mergeCell ref="B53:D53"/>
    <mergeCell ref="B59:D59"/>
    <mergeCell ref="B62:D62"/>
    <mergeCell ref="B58:D58"/>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s>
  <hyperlinks>
    <hyperlink ref="C11" r:id="rId1" xr:uid="{FB796F4C-0EFC-47C0-8832-7E6459279690}"/>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dimension ref="A1:K156"/>
  <sheetViews>
    <sheetView showGridLines="0" topLeftCell="A133" zoomScale="85" zoomScaleNormal="85" zoomScaleSheetLayoutView="80" workbookViewId="0">
      <selection activeCell="E141" sqref="E141"/>
    </sheetView>
  </sheetViews>
  <sheetFormatPr defaultColWidth="9"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641</v>
      </c>
      <c r="D5" s="666"/>
      <c r="E5" s="666"/>
      <c r="F5" s="666"/>
      <c r="G5" s="667"/>
    </row>
    <row r="6" spans="1:11" ht="18" customHeight="1" x14ac:dyDescent="0.4">
      <c r="B6" s="1" t="s">
        <v>3</v>
      </c>
      <c r="C6" s="737" t="s">
        <v>642</v>
      </c>
      <c r="D6" s="669"/>
      <c r="E6" s="669"/>
      <c r="F6" s="669"/>
      <c r="G6" s="670"/>
    </row>
    <row r="7" spans="1:11" ht="18" customHeight="1" x14ac:dyDescent="0.4">
      <c r="B7" s="1" t="s">
        <v>4</v>
      </c>
      <c r="C7" s="807" t="s">
        <v>643</v>
      </c>
      <c r="D7" s="690"/>
      <c r="E7" s="690"/>
      <c r="F7" s="690"/>
      <c r="G7" s="691"/>
    </row>
    <row r="9" spans="1:11" ht="18" customHeight="1" x14ac:dyDescent="0.4">
      <c r="B9" s="1" t="s">
        <v>1</v>
      </c>
      <c r="C9" s="731" t="s">
        <v>515</v>
      </c>
      <c r="D9" s="666"/>
      <c r="E9" s="666"/>
      <c r="F9" s="666"/>
      <c r="G9" s="667"/>
    </row>
    <row r="10" spans="1:11" ht="18" customHeight="1" x14ac:dyDescent="0.4">
      <c r="B10" s="1" t="s">
        <v>2</v>
      </c>
      <c r="C10" s="733" t="s">
        <v>516</v>
      </c>
      <c r="D10" s="661"/>
      <c r="E10" s="661"/>
      <c r="F10" s="661"/>
      <c r="G10" s="662"/>
    </row>
    <row r="11" spans="1:11" ht="18" customHeight="1" x14ac:dyDescent="0.4">
      <c r="B11" s="1" t="s">
        <v>32</v>
      </c>
      <c r="C11" s="682" t="s">
        <v>517</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0</v>
      </c>
      <c r="I18" s="115">
        <v>0</v>
      </c>
      <c r="J18" s="307">
        <v>0</v>
      </c>
      <c r="K18" s="308">
        <f>(H18+I18)-J18</f>
        <v>0</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c r="G21" s="306"/>
      <c r="H21" s="307"/>
      <c r="I21" s="115">
        <f>H21*F$114</f>
        <v>0</v>
      </c>
      <c r="J21" s="307"/>
      <c r="K21" s="308">
        <f t="shared" ref="K21:K34" si="0">(H21+I21)-J21</f>
        <v>0</v>
      </c>
    </row>
    <row r="22" spans="1:11" ht="18" customHeight="1" x14ac:dyDescent="0.4">
      <c r="A22" s="1" t="s">
        <v>76</v>
      </c>
      <c r="B22" t="s">
        <v>6</v>
      </c>
      <c r="F22" s="306"/>
      <c r="G22" s="306"/>
      <c r="H22" s="307"/>
      <c r="I22" s="115">
        <f t="shared" ref="I22:I34" si="1">H22*F$114</f>
        <v>0</v>
      </c>
      <c r="J22" s="307"/>
      <c r="K22" s="308">
        <f t="shared" si="0"/>
        <v>0</v>
      </c>
    </row>
    <row r="23" spans="1:11" ht="18" customHeight="1" x14ac:dyDescent="0.4">
      <c r="A23" s="1" t="s">
        <v>77</v>
      </c>
      <c r="B23" t="s">
        <v>43</v>
      </c>
      <c r="F23" s="306"/>
      <c r="G23" s="306"/>
      <c r="H23" s="307"/>
      <c r="I23" s="115">
        <f t="shared" si="1"/>
        <v>0</v>
      </c>
      <c r="J23" s="307"/>
      <c r="K23" s="308">
        <f t="shared" si="0"/>
        <v>0</v>
      </c>
    </row>
    <row r="24" spans="1:11" ht="18" customHeight="1" x14ac:dyDescent="0.4">
      <c r="A24" s="1" t="s">
        <v>78</v>
      </c>
      <c r="B24" t="s">
        <v>44</v>
      </c>
      <c r="F24" s="306"/>
      <c r="G24" s="306"/>
      <c r="H24" s="307"/>
      <c r="I24" s="115">
        <f t="shared" si="1"/>
        <v>0</v>
      </c>
      <c r="J24" s="307"/>
      <c r="K24" s="308">
        <f t="shared" si="0"/>
        <v>0</v>
      </c>
    </row>
    <row r="25" spans="1:11" ht="18" customHeight="1" x14ac:dyDescent="0.4">
      <c r="A25" s="1" t="s">
        <v>79</v>
      </c>
      <c r="B25" t="s">
        <v>5</v>
      </c>
      <c r="F25" s="306"/>
      <c r="G25" s="306"/>
      <c r="H25" s="307"/>
      <c r="I25" s="115">
        <f t="shared" si="1"/>
        <v>0</v>
      </c>
      <c r="J25" s="307"/>
      <c r="K25" s="308">
        <f t="shared" si="0"/>
        <v>0</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c r="G29" s="306"/>
      <c r="H29" s="307"/>
      <c r="I29" s="115">
        <f t="shared" si="1"/>
        <v>0</v>
      </c>
      <c r="J29" s="307"/>
      <c r="K29" s="308">
        <f t="shared" si="0"/>
        <v>0</v>
      </c>
    </row>
    <row r="30" spans="1:11" ht="18" customHeight="1" x14ac:dyDescent="0.4">
      <c r="A30" s="1" t="s">
        <v>84</v>
      </c>
      <c r="B30" s="630"/>
      <c r="C30" s="631"/>
      <c r="D30" s="632"/>
      <c r="F30" s="306"/>
      <c r="G30" s="306"/>
      <c r="H30" s="307"/>
      <c r="I30" s="115">
        <f t="shared" si="1"/>
        <v>0</v>
      </c>
      <c r="J30" s="307"/>
      <c r="K30" s="308">
        <f t="shared" si="0"/>
        <v>0</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0</v>
      </c>
      <c r="G36" s="310">
        <f t="shared" si="2"/>
        <v>0</v>
      </c>
      <c r="H36" s="310">
        <f t="shared" si="2"/>
        <v>0</v>
      </c>
      <c r="I36" s="308">
        <f t="shared" si="2"/>
        <v>0</v>
      </c>
      <c r="J36" s="308">
        <f t="shared" si="2"/>
        <v>0</v>
      </c>
      <c r="K36" s="308">
        <f t="shared" si="2"/>
        <v>0</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392</v>
      </c>
      <c r="G40" s="306">
        <v>2</v>
      </c>
      <c r="H40" s="307">
        <v>54930.96</v>
      </c>
      <c r="I40" s="115">
        <v>0</v>
      </c>
      <c r="J40" s="307"/>
      <c r="K40" s="308">
        <f t="shared" ref="K40:K47" si="3">(H40+I40)-J40</f>
        <v>54930.96</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f>180+156</f>
        <v>336</v>
      </c>
      <c r="G42" s="306">
        <v>2</v>
      </c>
      <c r="H42" s="307">
        <f>2340+3946.8</f>
        <v>6286.8</v>
      </c>
      <c r="I42" s="115">
        <v>0</v>
      </c>
      <c r="J42" s="307"/>
      <c r="K42" s="308">
        <f t="shared" si="3"/>
        <v>6286.8</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728</v>
      </c>
      <c r="G49" s="312">
        <f t="shared" si="4"/>
        <v>4</v>
      </c>
      <c r="H49" s="308">
        <f t="shared" si="4"/>
        <v>61217.760000000002</v>
      </c>
      <c r="I49" s="308">
        <f t="shared" si="4"/>
        <v>0</v>
      </c>
      <c r="J49" s="308">
        <f t="shared" si="4"/>
        <v>0</v>
      </c>
      <c r="K49" s="308">
        <f t="shared" si="4"/>
        <v>61217.760000000002</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c r="C53" s="659"/>
      <c r="D53" s="654"/>
      <c r="F53" s="306"/>
      <c r="G53" s="306"/>
      <c r="H53" s="307"/>
      <c r="I53" s="115">
        <v>0</v>
      </c>
      <c r="J53" s="307"/>
      <c r="K53" s="308">
        <f t="shared" ref="K53:K62" si="5">(H53+I53)-J53</f>
        <v>0</v>
      </c>
    </row>
    <row r="54" spans="1:11" ht="18" customHeight="1" x14ac:dyDescent="0.4">
      <c r="A54" s="1" t="s">
        <v>93</v>
      </c>
      <c r="B54" s="400" t="s">
        <v>644</v>
      </c>
      <c r="C54" s="401"/>
      <c r="D54" s="402"/>
      <c r="F54" s="306">
        <v>2080</v>
      </c>
      <c r="G54" s="306">
        <v>1421</v>
      </c>
      <c r="H54" s="307">
        <v>37451</v>
      </c>
      <c r="I54" s="115">
        <v>0</v>
      </c>
      <c r="J54" s="307"/>
      <c r="K54" s="308">
        <f t="shared" si="5"/>
        <v>37451</v>
      </c>
    </row>
    <row r="55" spans="1:11" ht="18" customHeight="1" x14ac:dyDescent="0.4">
      <c r="A55" s="1" t="s">
        <v>94</v>
      </c>
      <c r="B55" s="655" t="s">
        <v>645</v>
      </c>
      <c r="C55" s="653"/>
      <c r="D55" s="654"/>
      <c r="F55" s="306">
        <v>49</v>
      </c>
      <c r="G55" s="306">
        <v>239</v>
      </c>
      <c r="H55" s="307">
        <v>5714.17</v>
      </c>
      <c r="I55" s="115">
        <v>0</v>
      </c>
      <c r="J55" s="307"/>
      <c r="K55" s="308">
        <f t="shared" si="5"/>
        <v>5714.17</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2129</v>
      </c>
      <c r="G64" s="310">
        <f t="shared" si="6"/>
        <v>1660</v>
      </c>
      <c r="H64" s="308">
        <f t="shared" si="6"/>
        <v>43165.17</v>
      </c>
      <c r="I64" s="308">
        <f t="shared" si="6"/>
        <v>0</v>
      </c>
      <c r="J64" s="308">
        <f t="shared" si="6"/>
        <v>0</v>
      </c>
      <c r="K64" s="308">
        <f t="shared" si="6"/>
        <v>43165.17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0</v>
      </c>
      <c r="G82" s="411">
        <f t="shared" si="8"/>
        <v>0</v>
      </c>
      <c r="H82" s="308">
        <f t="shared" si="8"/>
        <v>0</v>
      </c>
      <c r="I82" s="308">
        <f t="shared" si="8"/>
        <v>0</v>
      </c>
      <c r="J82" s="308">
        <f t="shared" si="8"/>
        <v>0</v>
      </c>
      <c r="K82" s="308">
        <f t="shared" si="8"/>
        <v>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H86*F$114</f>
        <v>0</v>
      </c>
      <c r="J86" s="307"/>
      <c r="K86" s="308">
        <f t="shared" ref="K86:K96" si="9">(H86+I86)-J86</f>
        <v>0</v>
      </c>
    </row>
    <row r="87" spans="1:11" ht="18" customHeight="1" x14ac:dyDescent="0.4">
      <c r="A87" s="1" t="s">
        <v>114</v>
      </c>
      <c r="B87" s="94" t="s">
        <v>14</v>
      </c>
      <c r="F87" s="306">
        <v>6</v>
      </c>
      <c r="G87" s="306">
        <v>3</v>
      </c>
      <c r="H87" s="307">
        <v>576.9</v>
      </c>
      <c r="I87" s="115">
        <f t="shared" ref="I87:I96" si="10">H87*F$114</f>
        <v>521.83892178858127</v>
      </c>
      <c r="J87" s="307"/>
      <c r="K87" s="308">
        <f t="shared" si="9"/>
        <v>1098.7389217885811</v>
      </c>
    </row>
    <row r="88" spans="1:11" ht="18" customHeight="1" x14ac:dyDescent="0.4">
      <c r="A88" s="1" t="s">
        <v>115</v>
      </c>
      <c r="B88" s="94" t="s">
        <v>116</v>
      </c>
      <c r="F88" s="306">
        <v>16</v>
      </c>
      <c r="G88" s="306">
        <v>8</v>
      </c>
      <c r="H88" s="307">
        <v>1538.4</v>
      </c>
      <c r="I88" s="115">
        <f t="shared" si="10"/>
        <v>1391.5704581028835</v>
      </c>
      <c r="J88" s="307"/>
      <c r="K88" s="308">
        <f t="shared" si="9"/>
        <v>2929.9704581028836</v>
      </c>
    </row>
    <row r="89" spans="1:11" ht="18" customHeight="1" x14ac:dyDescent="0.4">
      <c r="A89" s="1" t="s">
        <v>117</v>
      </c>
      <c r="B89" s="94" t="s">
        <v>58</v>
      </c>
      <c r="F89" s="306"/>
      <c r="G89" s="306"/>
      <c r="H89" s="307"/>
      <c r="I89" s="115">
        <f t="shared" si="10"/>
        <v>0</v>
      </c>
      <c r="J89" s="307"/>
      <c r="K89" s="308">
        <f t="shared" si="9"/>
        <v>0</v>
      </c>
    </row>
    <row r="90" spans="1:11" ht="18" customHeight="1" x14ac:dyDescent="0.4">
      <c r="A90" s="1" t="s">
        <v>118</v>
      </c>
      <c r="B90" s="635" t="s">
        <v>59</v>
      </c>
      <c r="C90" s="636"/>
      <c r="F90" s="306"/>
      <c r="G90" s="306"/>
      <c r="H90" s="307"/>
      <c r="I90" s="115">
        <f t="shared" si="10"/>
        <v>0</v>
      </c>
      <c r="J90" s="307"/>
      <c r="K90" s="308">
        <f t="shared" si="9"/>
        <v>0</v>
      </c>
    </row>
    <row r="91" spans="1:11" ht="18" customHeight="1" x14ac:dyDescent="0.4">
      <c r="A91" s="1" t="s">
        <v>119</v>
      </c>
      <c r="B91" s="94" t="s">
        <v>60</v>
      </c>
      <c r="F91" s="306"/>
      <c r="G91" s="306"/>
      <c r="H91" s="307"/>
      <c r="I91" s="115">
        <f t="shared" si="10"/>
        <v>0</v>
      </c>
      <c r="J91" s="307"/>
      <c r="K91" s="308">
        <f t="shared" si="9"/>
        <v>0</v>
      </c>
    </row>
    <row r="92" spans="1:11" ht="18" customHeight="1" x14ac:dyDescent="0.4">
      <c r="A92" s="1" t="s">
        <v>120</v>
      </c>
      <c r="B92" s="94" t="s">
        <v>121</v>
      </c>
      <c r="F92" s="107">
        <v>16</v>
      </c>
      <c r="G92" s="107">
        <v>16</v>
      </c>
      <c r="H92" s="108">
        <v>565.44000000000005</v>
      </c>
      <c r="I92" s="115">
        <f t="shared" si="10"/>
        <v>511.47269879725332</v>
      </c>
      <c r="J92" s="108"/>
      <c r="K92" s="308">
        <f t="shared" si="9"/>
        <v>1076.9126987972534</v>
      </c>
    </row>
    <row r="93" spans="1:11" ht="18" customHeight="1" x14ac:dyDescent="0.4">
      <c r="A93" s="1" t="s">
        <v>122</v>
      </c>
      <c r="B93" s="94" t="s">
        <v>123</v>
      </c>
      <c r="F93" s="306"/>
      <c r="G93" s="306"/>
      <c r="H93" s="307"/>
      <c r="I93" s="115">
        <f t="shared" si="10"/>
        <v>0</v>
      </c>
      <c r="J93" s="307"/>
      <c r="K93" s="308">
        <f t="shared" si="9"/>
        <v>0</v>
      </c>
    </row>
    <row r="94" spans="1:11" ht="18" customHeight="1" x14ac:dyDescent="0.4">
      <c r="A94" s="1" t="s">
        <v>124</v>
      </c>
      <c r="B94" s="655"/>
      <c r="C94" s="653"/>
      <c r="D94" s="654"/>
      <c r="F94" s="306"/>
      <c r="G94" s="306"/>
      <c r="H94" s="307"/>
      <c r="I94" s="115">
        <f t="shared" si="10"/>
        <v>0</v>
      </c>
      <c r="J94" s="307"/>
      <c r="K94" s="308">
        <f t="shared" si="9"/>
        <v>0</v>
      </c>
    </row>
    <row r="95" spans="1:11" ht="18" customHeight="1" x14ac:dyDescent="0.4">
      <c r="A95" s="1" t="s">
        <v>125</v>
      </c>
      <c r="B95" s="655"/>
      <c r="C95" s="653"/>
      <c r="D95" s="654"/>
      <c r="F95" s="306"/>
      <c r="G95" s="306"/>
      <c r="H95" s="307"/>
      <c r="I95" s="115">
        <f t="shared" si="10"/>
        <v>0</v>
      </c>
      <c r="J95" s="307"/>
      <c r="K95" s="308">
        <f t="shared" si="9"/>
        <v>0</v>
      </c>
    </row>
    <row r="96" spans="1:11" ht="18" customHeight="1" x14ac:dyDescent="0.4">
      <c r="A96" s="1" t="s">
        <v>126</v>
      </c>
      <c r="B96" s="655"/>
      <c r="C96" s="653"/>
      <c r="D96" s="654"/>
      <c r="F96" s="306"/>
      <c r="G96" s="306"/>
      <c r="H96" s="307"/>
      <c r="I96" s="115">
        <f t="shared" si="10"/>
        <v>0</v>
      </c>
      <c r="J96" s="307"/>
      <c r="K96" s="308">
        <f t="shared" si="9"/>
        <v>0</v>
      </c>
    </row>
    <row r="97" spans="1:11" ht="18" customHeight="1" x14ac:dyDescent="0.4">
      <c r="A97" s="1"/>
      <c r="B97" s="94"/>
    </row>
    <row r="98" spans="1:11" ht="18" customHeight="1" x14ac:dyDescent="0.4">
      <c r="A98" s="98" t="s">
        <v>150</v>
      </c>
      <c r="B98" s="95" t="s">
        <v>151</v>
      </c>
      <c r="E98" s="95" t="s">
        <v>7</v>
      </c>
      <c r="F98" s="310">
        <f t="shared" ref="F98:K98" si="11">SUM(F86:F96)</f>
        <v>38</v>
      </c>
      <c r="G98" s="310">
        <f t="shared" si="11"/>
        <v>27</v>
      </c>
      <c r="H98" s="310">
        <f t="shared" si="11"/>
        <v>2680.7400000000002</v>
      </c>
      <c r="I98" s="310">
        <f t="shared" si="11"/>
        <v>2424.8820786887181</v>
      </c>
      <c r="J98" s="310">
        <f t="shared" si="11"/>
        <v>0</v>
      </c>
      <c r="K98" s="310">
        <f t="shared" si="11"/>
        <v>5105.6220786887179</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c r="G102" s="306"/>
      <c r="H102" s="307"/>
      <c r="I102" s="115">
        <f>H102*F$114</f>
        <v>0</v>
      </c>
      <c r="J102" s="307"/>
      <c r="K102" s="308">
        <f>(H102+I102)-J102</f>
        <v>0</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0</v>
      </c>
      <c r="G108" s="310">
        <f t="shared" si="12"/>
        <v>0</v>
      </c>
      <c r="H108" s="308">
        <f t="shared" si="12"/>
        <v>0</v>
      </c>
      <c r="I108" s="308">
        <f t="shared" si="12"/>
        <v>0</v>
      </c>
      <c r="J108" s="308">
        <f t="shared" si="12"/>
        <v>0</v>
      </c>
      <c r="K108" s="308">
        <f t="shared" si="12"/>
        <v>0</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198594</v>
      </c>
    </row>
    <row r="112" spans="1:11" ht="18" customHeight="1" x14ac:dyDescent="0.4">
      <c r="B112" s="95"/>
      <c r="E112" s="95"/>
    </row>
    <row r="113" spans="1:7" ht="18" customHeight="1" x14ac:dyDescent="0.4">
      <c r="A113" s="98"/>
      <c r="B113" s="95" t="s">
        <v>15</v>
      </c>
    </row>
    <row r="114" spans="1:7" ht="18" customHeight="1" x14ac:dyDescent="0.4">
      <c r="A114" s="1" t="s">
        <v>171</v>
      </c>
      <c r="B114" s="94" t="s">
        <v>35</v>
      </c>
      <c r="F114" s="366">
        <v>0.9045569800460761</v>
      </c>
      <c r="G114" s="94" t="s">
        <v>814</v>
      </c>
    </row>
    <row r="115" spans="1:7" ht="18" customHeight="1" x14ac:dyDescent="0.4">
      <c r="A115" s="1"/>
      <c r="B115" s="95"/>
    </row>
    <row r="116" spans="1:7" ht="18" customHeight="1" x14ac:dyDescent="0.4">
      <c r="A116" s="1" t="s">
        <v>170</v>
      </c>
      <c r="B116" s="95" t="s">
        <v>16</v>
      </c>
    </row>
    <row r="117" spans="1:7" ht="18" customHeight="1" x14ac:dyDescent="0.4">
      <c r="A117" s="1" t="s">
        <v>172</v>
      </c>
      <c r="B117" s="94" t="s">
        <v>17</v>
      </c>
      <c r="F117" s="307">
        <v>9037363</v>
      </c>
    </row>
    <row r="118" spans="1:7" ht="18" customHeight="1" x14ac:dyDescent="0.4">
      <c r="A118" s="1" t="s">
        <v>173</v>
      </c>
      <c r="B118" t="s">
        <v>18</v>
      </c>
      <c r="F118" s="307">
        <v>1169075</v>
      </c>
    </row>
    <row r="119" spans="1:7" ht="18" customHeight="1" x14ac:dyDescent="0.4">
      <c r="A119" s="1" t="s">
        <v>174</v>
      </c>
      <c r="B119" s="95" t="s">
        <v>19</v>
      </c>
      <c r="F119" s="308">
        <f>SUM(F117:F118)</f>
        <v>10206438</v>
      </c>
    </row>
    <row r="120" spans="1:7" ht="18" customHeight="1" x14ac:dyDescent="0.4">
      <c r="A120" s="1"/>
      <c r="B120" s="95"/>
    </row>
    <row r="121" spans="1:7" ht="18" customHeight="1" x14ac:dyDescent="0.4">
      <c r="A121" s="1" t="s">
        <v>167</v>
      </c>
      <c r="B121" s="95" t="s">
        <v>36</v>
      </c>
      <c r="F121" s="307">
        <v>10283006</v>
      </c>
    </row>
    <row r="122" spans="1:7" ht="18" customHeight="1" x14ac:dyDescent="0.4">
      <c r="A122" s="1"/>
    </row>
    <row r="123" spans="1:7" ht="18" customHeight="1" x14ac:dyDescent="0.4">
      <c r="A123" s="1" t="s">
        <v>175</v>
      </c>
      <c r="B123" s="95" t="s">
        <v>20</v>
      </c>
      <c r="F123" s="307">
        <f>+F119-F121</f>
        <v>-76568</v>
      </c>
      <c r="G123" s="131"/>
    </row>
    <row r="124" spans="1:7" ht="18" customHeight="1" x14ac:dyDescent="0.4">
      <c r="A124" s="1"/>
    </row>
    <row r="125" spans="1:7" ht="18" customHeight="1" x14ac:dyDescent="0.4">
      <c r="A125" s="1" t="s">
        <v>176</v>
      </c>
      <c r="B125" s="95" t="s">
        <v>21</v>
      </c>
      <c r="F125" s="307">
        <v>7120515</v>
      </c>
    </row>
    <row r="126" spans="1:7" ht="18" customHeight="1" x14ac:dyDescent="0.4">
      <c r="A126" s="1"/>
    </row>
    <row r="127" spans="1:7" ht="18" customHeight="1" x14ac:dyDescent="0.4">
      <c r="A127" s="1" t="s">
        <v>177</v>
      </c>
      <c r="B127" s="95" t="s">
        <v>22</v>
      </c>
      <c r="F127" s="307">
        <f>+F123+F125</f>
        <v>7043947</v>
      </c>
    </row>
    <row r="128" spans="1:7"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369">
        <f t="shared" ref="F141:K141" si="14">F36</f>
        <v>0</v>
      </c>
      <c r="G141" s="369">
        <f t="shared" si="14"/>
        <v>0</v>
      </c>
      <c r="H141" s="369">
        <f t="shared" si="14"/>
        <v>0</v>
      </c>
      <c r="I141" s="369">
        <f t="shared" si="14"/>
        <v>0</v>
      </c>
      <c r="J141" s="369">
        <f t="shared" si="14"/>
        <v>0</v>
      </c>
      <c r="K141" s="369">
        <f t="shared" si="14"/>
        <v>0</v>
      </c>
    </row>
    <row r="142" spans="1:11" ht="18" customHeight="1" x14ac:dyDescent="0.4">
      <c r="A142" s="1" t="s">
        <v>142</v>
      </c>
      <c r="B142" s="95" t="s">
        <v>65</v>
      </c>
      <c r="F142" s="369">
        <f t="shared" ref="F142:K142" si="15">F49</f>
        <v>728</v>
      </c>
      <c r="G142" s="369">
        <f t="shared" si="15"/>
        <v>4</v>
      </c>
      <c r="H142" s="369">
        <f t="shared" si="15"/>
        <v>61217.760000000002</v>
      </c>
      <c r="I142" s="369">
        <f t="shared" si="15"/>
        <v>0</v>
      </c>
      <c r="J142" s="369">
        <f t="shared" si="15"/>
        <v>0</v>
      </c>
      <c r="K142" s="369">
        <f t="shared" si="15"/>
        <v>61217.760000000002</v>
      </c>
    </row>
    <row r="143" spans="1:11" ht="18" customHeight="1" x14ac:dyDescent="0.4">
      <c r="A143" s="1" t="s">
        <v>144</v>
      </c>
      <c r="B143" s="95" t="s">
        <v>66</v>
      </c>
      <c r="F143" s="369">
        <f t="shared" ref="F143:K143" si="16">F64</f>
        <v>2129</v>
      </c>
      <c r="G143" s="369">
        <f t="shared" si="16"/>
        <v>1660</v>
      </c>
      <c r="H143" s="369">
        <f t="shared" si="16"/>
        <v>43165.17</v>
      </c>
      <c r="I143" s="369">
        <f t="shared" si="16"/>
        <v>0</v>
      </c>
      <c r="J143" s="369">
        <f t="shared" si="16"/>
        <v>0</v>
      </c>
      <c r="K143" s="369">
        <f t="shared" si="16"/>
        <v>43165.17</v>
      </c>
    </row>
    <row r="144" spans="1:11" ht="18" customHeight="1" x14ac:dyDescent="0.4">
      <c r="A144" s="1" t="s">
        <v>146</v>
      </c>
      <c r="B144" s="95" t="s">
        <v>67</v>
      </c>
      <c r="F144" s="369">
        <f t="shared" ref="F144:K144" si="17">F74</f>
        <v>0</v>
      </c>
      <c r="G144" s="369">
        <f t="shared" si="17"/>
        <v>0</v>
      </c>
      <c r="H144" s="369">
        <f t="shared" si="17"/>
        <v>0</v>
      </c>
      <c r="I144" s="369">
        <f t="shared" si="17"/>
        <v>0</v>
      </c>
      <c r="J144" s="369">
        <f t="shared" si="17"/>
        <v>0</v>
      </c>
      <c r="K144" s="369">
        <f t="shared" si="17"/>
        <v>0</v>
      </c>
    </row>
    <row r="145" spans="1:11" ht="18" customHeight="1" x14ac:dyDescent="0.4">
      <c r="A145" s="1" t="s">
        <v>148</v>
      </c>
      <c r="B145" s="95" t="s">
        <v>68</v>
      </c>
      <c r="F145" s="369">
        <f t="shared" ref="F145:K145" si="18">F82</f>
        <v>0</v>
      </c>
      <c r="G145" s="369">
        <f t="shared" si="18"/>
        <v>0</v>
      </c>
      <c r="H145" s="369">
        <f t="shared" si="18"/>
        <v>0</v>
      </c>
      <c r="I145" s="369">
        <f t="shared" si="18"/>
        <v>0</v>
      </c>
      <c r="J145" s="369">
        <f t="shared" si="18"/>
        <v>0</v>
      </c>
      <c r="K145" s="369">
        <f t="shared" si="18"/>
        <v>0</v>
      </c>
    </row>
    <row r="146" spans="1:11" ht="18" customHeight="1" x14ac:dyDescent="0.4">
      <c r="A146" s="1" t="s">
        <v>150</v>
      </c>
      <c r="B146" s="95" t="s">
        <v>69</v>
      </c>
      <c r="F146" s="369">
        <f t="shared" ref="F146:K146" si="19">F98</f>
        <v>38</v>
      </c>
      <c r="G146" s="369">
        <f t="shared" si="19"/>
        <v>27</v>
      </c>
      <c r="H146" s="369">
        <f t="shared" si="19"/>
        <v>2680.7400000000002</v>
      </c>
      <c r="I146" s="369">
        <f t="shared" si="19"/>
        <v>2424.8820786887181</v>
      </c>
      <c r="J146" s="369">
        <f t="shared" si="19"/>
        <v>0</v>
      </c>
      <c r="K146" s="369">
        <f t="shared" si="19"/>
        <v>5105.6220786887179</v>
      </c>
    </row>
    <row r="147" spans="1:11" ht="18" customHeight="1" x14ac:dyDescent="0.4">
      <c r="A147" s="1" t="s">
        <v>153</v>
      </c>
      <c r="B147" s="95" t="s">
        <v>61</v>
      </c>
      <c r="F147" s="321">
        <f t="shared" ref="F147:K147" si="20">F108</f>
        <v>0</v>
      </c>
      <c r="G147" s="321">
        <f t="shared" si="20"/>
        <v>0</v>
      </c>
      <c r="H147" s="321">
        <f t="shared" si="20"/>
        <v>0</v>
      </c>
      <c r="I147" s="321">
        <f t="shared" si="20"/>
        <v>0</v>
      </c>
      <c r="J147" s="321">
        <f t="shared" si="20"/>
        <v>0</v>
      </c>
      <c r="K147" s="321">
        <f t="shared" si="20"/>
        <v>0</v>
      </c>
    </row>
    <row r="148" spans="1:11" ht="18" customHeight="1" x14ac:dyDescent="0.4">
      <c r="A148" s="1" t="s">
        <v>155</v>
      </c>
      <c r="B148" s="95" t="s">
        <v>70</v>
      </c>
      <c r="F148" s="110" t="s">
        <v>73</v>
      </c>
      <c r="G148" s="110" t="s">
        <v>73</v>
      </c>
      <c r="H148" s="111" t="s">
        <v>73</v>
      </c>
      <c r="I148" s="111" t="s">
        <v>73</v>
      </c>
      <c r="J148" s="111" t="s">
        <v>73</v>
      </c>
      <c r="K148" s="369">
        <f>F111</f>
        <v>198594</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21">
        <f t="shared" si="21"/>
        <v>0</v>
      </c>
    </row>
    <row r="150" spans="1:11" ht="18" customHeight="1" x14ac:dyDescent="0.4">
      <c r="A150" s="1" t="s">
        <v>185</v>
      </c>
      <c r="B150" s="95" t="s">
        <v>186</v>
      </c>
      <c r="F150" s="110" t="s">
        <v>73</v>
      </c>
      <c r="G150" s="110" t="s">
        <v>73</v>
      </c>
      <c r="H150" s="321">
        <f>H18</f>
        <v>0</v>
      </c>
      <c r="I150" s="321">
        <f>I18</f>
        <v>0</v>
      </c>
      <c r="J150" s="321">
        <f>J18</f>
        <v>0</v>
      </c>
      <c r="K150" s="321">
        <f>K18</f>
        <v>0</v>
      </c>
    </row>
    <row r="151" spans="1:11" ht="18" customHeight="1" x14ac:dyDescent="0.4">
      <c r="B151" s="95"/>
      <c r="F151" s="113"/>
      <c r="G151" s="113"/>
      <c r="H151" s="436"/>
      <c r="I151" s="436"/>
      <c r="J151" s="436"/>
      <c r="K151" s="436"/>
    </row>
    <row r="152" spans="1:11" ht="18" customHeight="1" x14ac:dyDescent="0.4">
      <c r="A152" s="98" t="s">
        <v>165</v>
      </c>
      <c r="B152" s="95" t="s">
        <v>26</v>
      </c>
      <c r="F152" s="460">
        <f t="shared" ref="F152:K152" si="22">SUM(F141:F150)</f>
        <v>2895</v>
      </c>
      <c r="G152" s="460">
        <f t="shared" si="22"/>
        <v>1691</v>
      </c>
      <c r="H152" s="460">
        <f t="shared" si="22"/>
        <v>107063.67</v>
      </c>
      <c r="I152" s="460">
        <f t="shared" si="22"/>
        <v>2424.8820786887181</v>
      </c>
      <c r="J152" s="460">
        <f t="shared" si="22"/>
        <v>0</v>
      </c>
      <c r="K152" s="460">
        <f t="shared" si="22"/>
        <v>308082.55207868869</v>
      </c>
    </row>
    <row r="154" spans="1:11" ht="18" customHeight="1" x14ac:dyDescent="0.4">
      <c r="A154" s="98" t="s">
        <v>168</v>
      </c>
      <c r="B154" s="95" t="s">
        <v>28</v>
      </c>
      <c r="F154" s="318">
        <f>K152/F121</f>
        <v>2.9960359069973186E-2</v>
      </c>
    </row>
    <row r="155" spans="1:11" ht="18" customHeight="1" x14ac:dyDescent="0.4">
      <c r="A155" s="98" t="s">
        <v>169</v>
      </c>
      <c r="B155" s="95" t="s">
        <v>72</v>
      </c>
      <c r="F155" s="318">
        <f>K152/F127</f>
        <v>4.3737204734602443E-2</v>
      </c>
      <c r="G155" s="95"/>
    </row>
    <row r="156" spans="1:11" ht="18" customHeight="1" x14ac:dyDescent="0.4">
      <c r="G156" s="95"/>
    </row>
  </sheetData>
  <mergeCells count="34">
    <mergeCell ref="B52:C52"/>
    <mergeCell ref="B53:D53"/>
    <mergeCell ref="B55:D55"/>
    <mergeCell ref="B31:D31"/>
    <mergeCell ref="B30:D30"/>
    <mergeCell ref="B134:D134"/>
    <mergeCell ref="B135:D135"/>
    <mergeCell ref="B133:D133"/>
    <mergeCell ref="B104:D104"/>
    <mergeCell ref="B105:D105"/>
    <mergeCell ref="B106:D106"/>
    <mergeCell ref="B103:C103"/>
    <mergeCell ref="B96:D96"/>
    <mergeCell ref="B95:D95"/>
    <mergeCell ref="B57:D57"/>
    <mergeCell ref="B94:D94"/>
    <mergeCell ref="B90:C90"/>
    <mergeCell ref="B62:D62"/>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s>
  <hyperlinks>
    <hyperlink ref="C11" r:id="rId1" xr:uid="{1256FAAA-0AF2-4612-AB0F-F215D22E6D25}"/>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6"/>
  <dimension ref="A1:T156"/>
  <sheetViews>
    <sheetView showGridLines="0" topLeftCell="A131" zoomScale="80" zoomScaleNormal="80" zoomScaleSheetLayoutView="80" workbookViewId="0">
      <selection activeCell="H112" sqref="H112"/>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109375" customWidth="1"/>
    <col min="9" max="9" width="21.109375" customWidth="1"/>
    <col min="10" max="10" width="19.88671875" customWidth="1"/>
    <col min="11" max="11" width="17.5546875" customWidth="1"/>
    <col min="13" max="13" width="43.27734375" customWidth="1"/>
    <col min="14" max="14" width="4.88671875" customWidth="1"/>
    <col min="15" max="15" width="18.609375" customWidth="1"/>
    <col min="16" max="16" width="16.1640625" customWidth="1"/>
    <col min="17" max="17" width="13.38671875" customWidth="1"/>
    <col min="18" max="18" width="14" customWidth="1"/>
    <col min="19" max="19" width="14.1640625" customWidth="1"/>
    <col min="20" max="20" width="17.88671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265</v>
      </c>
      <c r="D5" s="666"/>
      <c r="E5" s="666"/>
      <c r="F5" s="666"/>
      <c r="G5" s="667"/>
    </row>
    <row r="6" spans="1:11" ht="18" customHeight="1" x14ac:dyDescent="0.4">
      <c r="B6" s="1" t="s">
        <v>3</v>
      </c>
      <c r="C6" s="668" t="s">
        <v>266</v>
      </c>
      <c r="D6" s="669"/>
      <c r="E6" s="669"/>
      <c r="F6" s="669"/>
      <c r="G6" s="670"/>
    </row>
    <row r="7" spans="1:11" ht="18" customHeight="1" x14ac:dyDescent="0.4">
      <c r="B7" s="1" t="s">
        <v>4</v>
      </c>
      <c r="C7" s="686">
        <v>1747</v>
      </c>
      <c r="D7" s="687"/>
      <c r="E7" s="687"/>
      <c r="F7" s="687"/>
      <c r="G7" s="688"/>
    </row>
    <row r="9" spans="1:11" ht="18" customHeight="1" x14ac:dyDescent="0.4">
      <c r="B9" s="1" t="s">
        <v>1</v>
      </c>
      <c r="C9" s="663" t="s">
        <v>267</v>
      </c>
      <c r="D9" s="666"/>
      <c r="E9" s="666"/>
      <c r="F9" s="666"/>
      <c r="G9" s="667"/>
    </row>
    <row r="10" spans="1:11" ht="18" customHeight="1" x14ac:dyDescent="0.4">
      <c r="B10" s="1" t="s">
        <v>2</v>
      </c>
      <c r="C10" s="660" t="s">
        <v>268</v>
      </c>
      <c r="D10" s="661"/>
      <c r="E10" s="661"/>
      <c r="F10" s="661"/>
      <c r="G10" s="662"/>
    </row>
    <row r="11" spans="1:11" ht="18" customHeight="1" x14ac:dyDescent="0.4">
      <c r="B11" s="1" t="s">
        <v>32</v>
      </c>
      <c r="C11" s="682" t="s">
        <v>269</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5668203.6600000001</v>
      </c>
      <c r="I18" s="115">
        <v>0</v>
      </c>
      <c r="J18" s="307">
        <v>4697638.0199999996</v>
      </c>
      <c r="K18" s="308">
        <f>(H18+I18)-J18</f>
        <v>970565.6400000006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3408</v>
      </c>
      <c r="G21" s="306">
        <v>747159</v>
      </c>
      <c r="H21" s="307">
        <v>463583.96</v>
      </c>
      <c r="I21" s="115">
        <v>271752.90999999997</v>
      </c>
      <c r="J21" s="307">
        <v>0</v>
      </c>
      <c r="K21" s="308">
        <f t="shared" ref="K21:K34" si="0">(H21+I21)-J21</f>
        <v>735336.87</v>
      </c>
    </row>
    <row r="22" spans="1:11" ht="18" customHeight="1" x14ac:dyDescent="0.4">
      <c r="A22" s="1" t="s">
        <v>76</v>
      </c>
      <c r="B22" t="s">
        <v>6</v>
      </c>
      <c r="F22" s="306">
        <v>1080</v>
      </c>
      <c r="G22" s="306">
        <v>828</v>
      </c>
      <c r="H22" s="307">
        <v>54962.03</v>
      </c>
      <c r="I22" s="115">
        <v>32218.74</v>
      </c>
      <c r="J22" s="307">
        <v>0</v>
      </c>
      <c r="K22" s="308">
        <f t="shared" si="0"/>
        <v>87180.77</v>
      </c>
    </row>
    <row r="23" spans="1:11" ht="18" customHeight="1" x14ac:dyDescent="0.4">
      <c r="A23" s="1" t="s">
        <v>77</v>
      </c>
      <c r="B23" t="s">
        <v>43</v>
      </c>
      <c r="F23" s="306">
        <v>406</v>
      </c>
      <c r="G23" s="306">
        <v>106</v>
      </c>
      <c r="H23" s="307">
        <v>23383.54</v>
      </c>
      <c r="I23" s="115">
        <v>13707.43</v>
      </c>
      <c r="J23" s="307">
        <v>0</v>
      </c>
      <c r="K23" s="308">
        <f t="shared" si="0"/>
        <v>37090.97</v>
      </c>
    </row>
    <row r="24" spans="1:11" ht="18" customHeight="1" x14ac:dyDescent="0.4">
      <c r="A24" s="1" t="s">
        <v>78</v>
      </c>
      <c r="B24" t="s">
        <v>44</v>
      </c>
      <c r="F24" s="306"/>
      <c r="G24" s="306"/>
      <c r="H24" s="307"/>
      <c r="I24" s="115"/>
      <c r="J24" s="307"/>
      <c r="K24" s="308">
        <f t="shared" si="0"/>
        <v>0</v>
      </c>
    </row>
    <row r="25" spans="1:11" ht="18" customHeight="1" x14ac:dyDescent="0.4">
      <c r="A25" s="1" t="s">
        <v>79</v>
      </c>
      <c r="B25" t="s">
        <v>5</v>
      </c>
      <c r="F25" s="306">
        <v>1855</v>
      </c>
      <c r="G25" s="306">
        <v>1663</v>
      </c>
      <c r="H25" s="307">
        <v>136911</v>
      </c>
      <c r="I25" s="115">
        <v>80257.23</v>
      </c>
      <c r="J25" s="307">
        <v>0</v>
      </c>
      <c r="K25" s="308">
        <f t="shared" si="0"/>
        <v>217168.22999999998</v>
      </c>
    </row>
    <row r="26" spans="1:11" ht="18" customHeight="1" x14ac:dyDescent="0.4">
      <c r="A26" s="1" t="s">
        <v>80</v>
      </c>
      <c r="B26" t="s">
        <v>45</v>
      </c>
      <c r="F26" s="306">
        <v>16</v>
      </c>
      <c r="G26" s="306">
        <v>0</v>
      </c>
      <c r="H26" s="307">
        <v>4271.21</v>
      </c>
      <c r="I26" s="115">
        <v>2503.7800000000002</v>
      </c>
      <c r="J26" s="307">
        <v>0</v>
      </c>
      <c r="K26" s="308">
        <f t="shared" si="0"/>
        <v>6774.99</v>
      </c>
    </row>
    <row r="27" spans="1:11" ht="18" customHeight="1" x14ac:dyDescent="0.4">
      <c r="A27" s="1" t="s">
        <v>81</v>
      </c>
      <c r="B27" t="s">
        <v>455</v>
      </c>
      <c r="F27" s="306"/>
      <c r="G27" s="306"/>
      <c r="H27" s="307"/>
      <c r="I27" s="115"/>
      <c r="J27" s="307"/>
      <c r="K27" s="308">
        <f t="shared" si="0"/>
        <v>0</v>
      </c>
    </row>
    <row r="28" spans="1:11" ht="18" customHeight="1" x14ac:dyDescent="0.4">
      <c r="A28" s="1" t="s">
        <v>82</v>
      </c>
      <c r="B28" t="s">
        <v>47</v>
      </c>
      <c r="F28" s="306"/>
      <c r="G28" s="306"/>
      <c r="H28" s="307"/>
      <c r="I28" s="115"/>
      <c r="J28" s="307"/>
      <c r="K28" s="308">
        <f t="shared" si="0"/>
        <v>0</v>
      </c>
    </row>
    <row r="29" spans="1:11" ht="18" customHeight="1" x14ac:dyDescent="0.4">
      <c r="A29" s="1" t="s">
        <v>83</v>
      </c>
      <c r="B29" t="s">
        <v>48</v>
      </c>
      <c r="F29" s="306">
        <v>15245</v>
      </c>
      <c r="G29" s="306">
        <v>344</v>
      </c>
      <c r="H29" s="307">
        <v>2358249.88</v>
      </c>
      <c r="I29" s="115">
        <v>1083109.3500000001</v>
      </c>
      <c r="J29" s="307">
        <v>0</v>
      </c>
      <c r="K29" s="308">
        <f t="shared" si="0"/>
        <v>3441359.23</v>
      </c>
    </row>
    <row r="30" spans="1:11" ht="18" customHeight="1" x14ac:dyDescent="0.4">
      <c r="A30" s="1" t="s">
        <v>84</v>
      </c>
      <c r="B30" s="630"/>
      <c r="C30" s="631"/>
      <c r="D30" s="632"/>
      <c r="F30" s="306"/>
      <c r="G30" s="306"/>
      <c r="H30" s="307"/>
      <c r="I30" s="115">
        <f>H30*F$114</f>
        <v>0</v>
      </c>
      <c r="J30" s="307"/>
      <c r="K30" s="308">
        <f t="shared" si="0"/>
        <v>0</v>
      </c>
    </row>
    <row r="31" spans="1:11" ht="18" customHeight="1" x14ac:dyDescent="0.4">
      <c r="A31" s="1" t="s">
        <v>133</v>
      </c>
      <c r="B31" s="630"/>
      <c r="C31" s="631"/>
      <c r="D31" s="632"/>
      <c r="F31" s="306"/>
      <c r="G31" s="306"/>
      <c r="H31" s="307"/>
      <c r="I31" s="115">
        <f>H31*F$114</f>
        <v>0</v>
      </c>
      <c r="J31" s="307"/>
      <c r="K31" s="308">
        <f t="shared" si="0"/>
        <v>0</v>
      </c>
    </row>
    <row r="32" spans="1:11" ht="18" customHeight="1" x14ac:dyDescent="0.4">
      <c r="A32" s="1" t="s">
        <v>134</v>
      </c>
      <c r="B32" s="394"/>
      <c r="C32" s="395"/>
      <c r="D32" s="396"/>
      <c r="F32" s="306"/>
      <c r="G32" s="309" t="s">
        <v>85</v>
      </c>
      <c r="H32" s="307"/>
      <c r="I32" s="115">
        <f>H32*F$114</f>
        <v>0</v>
      </c>
      <c r="J32" s="307"/>
      <c r="K32" s="308">
        <f t="shared" si="0"/>
        <v>0</v>
      </c>
    </row>
    <row r="33" spans="1:11" ht="18" customHeight="1" x14ac:dyDescent="0.4">
      <c r="A33" s="1" t="s">
        <v>135</v>
      </c>
      <c r="B33" s="394"/>
      <c r="C33" s="395"/>
      <c r="D33" s="396"/>
      <c r="F33" s="306"/>
      <c r="G33" s="309" t="s">
        <v>85</v>
      </c>
      <c r="H33" s="307"/>
      <c r="I33" s="115">
        <f>H33*F$114</f>
        <v>0</v>
      </c>
      <c r="J33" s="307"/>
      <c r="K33" s="308">
        <f t="shared" si="0"/>
        <v>0</v>
      </c>
    </row>
    <row r="34" spans="1:11" ht="18" customHeight="1" x14ac:dyDescent="0.4">
      <c r="A34" s="1" t="s">
        <v>136</v>
      </c>
      <c r="B34" s="630"/>
      <c r="C34" s="631"/>
      <c r="D34" s="632"/>
      <c r="F34" s="306"/>
      <c r="G34" s="309" t="s">
        <v>85</v>
      </c>
      <c r="H34" s="307"/>
      <c r="I34" s="115">
        <f>H34*F$114</f>
        <v>0</v>
      </c>
      <c r="J34" s="307"/>
      <c r="K34" s="308">
        <f t="shared" si="0"/>
        <v>0</v>
      </c>
    </row>
    <row r="35" spans="1:11" ht="18" customHeight="1" x14ac:dyDescent="0.4">
      <c r="K35" s="397"/>
    </row>
    <row r="36" spans="1:11" ht="18" customHeight="1" x14ac:dyDescent="0.4">
      <c r="A36" s="98" t="s">
        <v>137</v>
      </c>
      <c r="B36" s="95" t="s">
        <v>138</v>
      </c>
      <c r="E36" s="95" t="s">
        <v>7</v>
      </c>
      <c r="F36" s="310">
        <f t="shared" ref="F36:K36" si="1">SUM(F21:F34)</f>
        <v>22010</v>
      </c>
      <c r="G36" s="310">
        <f t="shared" si="1"/>
        <v>750100</v>
      </c>
      <c r="H36" s="310">
        <f t="shared" si="1"/>
        <v>3041361.62</v>
      </c>
      <c r="I36" s="308">
        <f t="shared" si="1"/>
        <v>1483549.44</v>
      </c>
      <c r="J36" s="308">
        <f t="shared" si="1"/>
        <v>0</v>
      </c>
      <c r="K36" s="308">
        <f t="shared" si="1"/>
        <v>4524911.0599999996</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0</v>
      </c>
      <c r="G40" s="306">
        <v>0</v>
      </c>
      <c r="H40" s="307">
        <v>0</v>
      </c>
      <c r="I40" s="115">
        <f>H40*F$114</f>
        <v>0</v>
      </c>
      <c r="J40" s="307">
        <v>0</v>
      </c>
      <c r="K40" s="308">
        <f t="shared" ref="K40:K47" si="2">(H40+I40)-J40</f>
        <v>0</v>
      </c>
    </row>
    <row r="41" spans="1:11" ht="18" customHeight="1" x14ac:dyDescent="0.4">
      <c r="A41" s="1" t="s">
        <v>88</v>
      </c>
      <c r="B41" s="635" t="s">
        <v>50</v>
      </c>
      <c r="C41" s="636"/>
      <c r="F41" s="306">
        <v>2006</v>
      </c>
      <c r="G41" s="306">
        <v>14</v>
      </c>
      <c r="H41" s="307">
        <v>97977.88</v>
      </c>
      <c r="I41" s="115">
        <v>57434.63</v>
      </c>
      <c r="J41" s="307">
        <v>0</v>
      </c>
      <c r="K41" s="308">
        <f t="shared" si="2"/>
        <v>155412.51</v>
      </c>
    </row>
    <row r="42" spans="1:11" ht="18" customHeight="1" x14ac:dyDescent="0.4">
      <c r="A42" s="1" t="s">
        <v>89</v>
      </c>
      <c r="B42" s="94" t="s">
        <v>11</v>
      </c>
      <c r="F42" s="306">
        <v>7368</v>
      </c>
      <c r="G42" s="306">
        <v>512</v>
      </c>
      <c r="H42" s="307">
        <v>369981.37</v>
      </c>
      <c r="I42" s="115">
        <v>216883.08</v>
      </c>
      <c r="J42" s="307">
        <v>0</v>
      </c>
      <c r="K42" s="308">
        <f t="shared" si="2"/>
        <v>586864.44999999995</v>
      </c>
    </row>
    <row r="43" spans="1:11" ht="18" customHeight="1" x14ac:dyDescent="0.4">
      <c r="A43" s="1" t="s">
        <v>90</v>
      </c>
      <c r="B43" s="94" t="s">
        <v>10</v>
      </c>
      <c r="F43" s="306">
        <v>0</v>
      </c>
      <c r="G43" s="306">
        <v>0</v>
      </c>
      <c r="H43" s="307">
        <v>419950</v>
      </c>
      <c r="I43" s="115">
        <v>246174.69</v>
      </c>
      <c r="J43" s="307">
        <v>0</v>
      </c>
      <c r="K43" s="308">
        <f t="shared" si="2"/>
        <v>666124.68999999994</v>
      </c>
    </row>
    <row r="44" spans="1:11" ht="18" customHeight="1" x14ac:dyDescent="0.4">
      <c r="A44" s="1" t="s">
        <v>91</v>
      </c>
      <c r="B44" s="652" t="s">
        <v>229</v>
      </c>
      <c r="C44" s="786"/>
      <c r="D44" s="787"/>
      <c r="F44" s="311">
        <v>283</v>
      </c>
      <c r="G44" s="311">
        <v>15</v>
      </c>
      <c r="H44" s="307">
        <v>34149.519999999997</v>
      </c>
      <c r="I44" s="115">
        <v>20018.46</v>
      </c>
      <c r="J44" s="307">
        <v>0</v>
      </c>
      <c r="K44" s="353">
        <f t="shared" si="2"/>
        <v>54167.979999999996</v>
      </c>
    </row>
    <row r="45" spans="1:11" ht="18" customHeight="1" x14ac:dyDescent="0.4">
      <c r="A45" s="1" t="s">
        <v>139</v>
      </c>
      <c r="B45" s="630"/>
      <c r="C45" s="631"/>
      <c r="D45" s="632"/>
      <c r="F45" s="306"/>
      <c r="G45" s="306"/>
      <c r="H45" s="307"/>
      <c r="I45" s="115">
        <v>0</v>
      </c>
      <c r="J45" s="307"/>
      <c r="K45" s="308">
        <f t="shared" si="2"/>
        <v>0</v>
      </c>
    </row>
    <row r="46" spans="1:11" ht="18" customHeight="1" x14ac:dyDescent="0.4">
      <c r="A46" s="1" t="s">
        <v>140</v>
      </c>
      <c r="B46" s="630"/>
      <c r="C46" s="631"/>
      <c r="D46" s="632"/>
      <c r="F46" s="306"/>
      <c r="G46" s="306"/>
      <c r="H46" s="307"/>
      <c r="I46" s="115">
        <v>0</v>
      </c>
      <c r="J46" s="307"/>
      <c r="K46" s="308">
        <f t="shared" si="2"/>
        <v>0</v>
      </c>
    </row>
    <row r="47" spans="1:11" ht="18" customHeight="1" x14ac:dyDescent="0.4">
      <c r="A47" s="1" t="s">
        <v>141</v>
      </c>
      <c r="B47" s="630"/>
      <c r="C47" s="631"/>
      <c r="D47" s="632"/>
      <c r="F47" s="306"/>
      <c r="G47" s="306"/>
      <c r="H47" s="307"/>
      <c r="I47" s="115">
        <v>0</v>
      </c>
      <c r="J47" s="307"/>
      <c r="K47" s="308">
        <f t="shared" si="2"/>
        <v>0</v>
      </c>
    </row>
    <row r="49" spans="1:20" ht="18" customHeight="1" x14ac:dyDescent="0.4">
      <c r="A49" s="98" t="s">
        <v>142</v>
      </c>
      <c r="B49" s="95" t="s">
        <v>143</v>
      </c>
      <c r="E49" s="95" t="s">
        <v>7</v>
      </c>
      <c r="F49" s="312">
        <f t="shared" ref="F49:K49" si="3">SUM(F40:F47)</f>
        <v>9657</v>
      </c>
      <c r="G49" s="312">
        <f t="shared" si="3"/>
        <v>541</v>
      </c>
      <c r="H49" s="308">
        <f t="shared" si="3"/>
        <v>922058.77</v>
      </c>
      <c r="I49" s="308">
        <f t="shared" si="3"/>
        <v>540510.86</v>
      </c>
      <c r="J49" s="308">
        <f t="shared" si="3"/>
        <v>0</v>
      </c>
      <c r="K49" s="308">
        <f t="shared" si="3"/>
        <v>1462569.63</v>
      </c>
    </row>
    <row r="50" spans="1:20" ht="18" customHeight="1" thickBot="1" x14ac:dyDescent="0.45">
      <c r="G50" s="103"/>
      <c r="H50" s="103"/>
      <c r="I50" s="103"/>
      <c r="J50" s="103"/>
      <c r="K50" s="103"/>
    </row>
    <row r="51" spans="1:20" ht="42.75" customHeight="1" x14ac:dyDescent="0.4">
      <c r="F51" s="99" t="s">
        <v>9</v>
      </c>
      <c r="G51" s="99" t="s">
        <v>37</v>
      </c>
      <c r="H51" s="99" t="s">
        <v>29</v>
      </c>
      <c r="I51" s="99" t="s">
        <v>30</v>
      </c>
      <c r="J51" s="99" t="s">
        <v>33</v>
      </c>
      <c r="K51" s="99" t="s">
        <v>34</v>
      </c>
      <c r="O51" s="99" t="s">
        <v>9</v>
      </c>
      <c r="P51" s="99" t="s">
        <v>37</v>
      </c>
      <c r="Q51" s="99" t="s">
        <v>29</v>
      </c>
      <c r="R51" s="99" t="s">
        <v>30</v>
      </c>
      <c r="S51" s="99" t="s">
        <v>33</v>
      </c>
      <c r="T51" s="99" t="s">
        <v>34</v>
      </c>
    </row>
    <row r="52" spans="1:20" ht="18" customHeight="1" x14ac:dyDescent="0.4">
      <c r="A52" s="98" t="s">
        <v>92</v>
      </c>
      <c r="B52" s="656" t="s">
        <v>38</v>
      </c>
      <c r="C52" s="657"/>
      <c r="M52" s="101" t="s">
        <v>706</v>
      </c>
      <c r="N52" s="102"/>
    </row>
    <row r="53" spans="1:20" ht="18" customHeight="1" x14ac:dyDescent="0.4">
      <c r="A53" s="1" t="s">
        <v>51</v>
      </c>
      <c r="B53" s="740" t="s">
        <v>547</v>
      </c>
      <c r="C53" s="659"/>
      <c r="D53" s="654"/>
      <c r="F53" s="306"/>
      <c r="G53" s="306"/>
      <c r="H53" s="307">
        <v>1700123</v>
      </c>
      <c r="I53" s="115">
        <v>0</v>
      </c>
      <c r="J53" s="307"/>
      <c r="K53" s="308">
        <f t="shared" ref="K53:K62" si="4">(H53+I53)-J53</f>
        <v>1700123</v>
      </c>
      <c r="M53" s="483" t="s">
        <v>555</v>
      </c>
      <c r="N53" s="401"/>
      <c r="O53" s="306"/>
      <c r="P53" s="306"/>
      <c r="Q53" s="307">
        <v>5876807</v>
      </c>
      <c r="R53" s="115">
        <v>0</v>
      </c>
      <c r="S53" s="307"/>
      <c r="T53" s="308">
        <f>(Q53+R53)-S53</f>
        <v>5876807</v>
      </c>
    </row>
    <row r="54" spans="1:20" ht="18" customHeight="1" x14ac:dyDescent="0.4">
      <c r="A54" s="1" t="s">
        <v>93</v>
      </c>
      <c r="B54" s="483" t="s">
        <v>548</v>
      </c>
      <c r="C54" s="401"/>
      <c r="D54" s="402"/>
      <c r="F54" s="306"/>
      <c r="G54" s="306"/>
      <c r="H54" s="307">
        <v>978974</v>
      </c>
      <c r="I54" s="115">
        <v>0</v>
      </c>
      <c r="J54" s="307"/>
      <c r="K54" s="308">
        <f t="shared" si="4"/>
        <v>978974</v>
      </c>
      <c r="M54" s="483" t="s">
        <v>815</v>
      </c>
      <c r="N54" s="401"/>
      <c r="O54" s="306">
        <v>0</v>
      </c>
      <c r="P54" s="306">
        <v>0</v>
      </c>
      <c r="Q54" s="307">
        <v>22710</v>
      </c>
      <c r="R54" s="115">
        <v>13312.6</v>
      </c>
      <c r="S54" s="307"/>
      <c r="T54" s="308">
        <f>(Q54+R54)-S54</f>
        <v>36022.6</v>
      </c>
    </row>
    <row r="55" spans="1:20" ht="18" customHeight="1" x14ac:dyDescent="0.4">
      <c r="A55" s="1" t="s">
        <v>94</v>
      </c>
      <c r="B55" s="652" t="s">
        <v>549</v>
      </c>
      <c r="C55" s="653"/>
      <c r="D55" s="654"/>
      <c r="F55" s="306"/>
      <c r="G55" s="306"/>
      <c r="H55" s="307">
        <v>243087</v>
      </c>
      <c r="I55" s="115">
        <v>0</v>
      </c>
      <c r="J55" s="307"/>
      <c r="K55" s="308">
        <f t="shared" si="4"/>
        <v>243087</v>
      </c>
    </row>
    <row r="56" spans="1:20" ht="18" customHeight="1" x14ac:dyDescent="0.4">
      <c r="A56" s="1" t="s">
        <v>95</v>
      </c>
      <c r="B56" s="652" t="s">
        <v>550</v>
      </c>
      <c r="C56" s="653"/>
      <c r="D56" s="654"/>
      <c r="F56" s="306"/>
      <c r="G56" s="306"/>
      <c r="H56" s="307">
        <v>607499</v>
      </c>
      <c r="I56" s="115">
        <v>0</v>
      </c>
      <c r="J56" s="307"/>
      <c r="K56" s="308">
        <f t="shared" si="4"/>
        <v>607499</v>
      </c>
    </row>
    <row r="57" spans="1:20" ht="18" customHeight="1" x14ac:dyDescent="0.4">
      <c r="A57" s="1" t="s">
        <v>96</v>
      </c>
      <c r="B57" s="652" t="s">
        <v>551</v>
      </c>
      <c r="C57" s="653"/>
      <c r="D57" s="654"/>
      <c r="F57" s="306"/>
      <c r="G57" s="306"/>
      <c r="H57" s="307">
        <v>3533298</v>
      </c>
      <c r="I57" s="115">
        <v>0</v>
      </c>
      <c r="J57" s="307"/>
      <c r="K57" s="308">
        <f t="shared" si="4"/>
        <v>3533298</v>
      </c>
    </row>
    <row r="58" spans="1:20" ht="18" customHeight="1" x14ac:dyDescent="0.4">
      <c r="A58" s="1" t="s">
        <v>97</v>
      </c>
      <c r="B58" s="483" t="s">
        <v>552</v>
      </c>
      <c r="C58" s="401"/>
      <c r="D58" s="402"/>
      <c r="F58" s="306"/>
      <c r="G58" s="306"/>
      <c r="H58" s="307">
        <v>2648531</v>
      </c>
      <c r="I58" s="115">
        <v>0</v>
      </c>
      <c r="J58" s="307"/>
      <c r="K58" s="308">
        <f t="shared" si="4"/>
        <v>2648531</v>
      </c>
    </row>
    <row r="59" spans="1:20" ht="18" customHeight="1" x14ac:dyDescent="0.4">
      <c r="A59" s="1" t="s">
        <v>98</v>
      </c>
      <c r="B59" s="652" t="s">
        <v>553</v>
      </c>
      <c r="C59" s="653"/>
      <c r="D59" s="654"/>
      <c r="F59" s="306"/>
      <c r="G59" s="306"/>
      <c r="H59" s="307">
        <v>152000</v>
      </c>
      <c r="I59" s="115">
        <v>0</v>
      </c>
      <c r="J59" s="307"/>
      <c r="K59" s="308">
        <f t="shared" si="4"/>
        <v>152000</v>
      </c>
    </row>
    <row r="60" spans="1:20" ht="18" customHeight="1" x14ac:dyDescent="0.4">
      <c r="A60" s="1" t="s">
        <v>99</v>
      </c>
      <c r="B60" s="483" t="s">
        <v>554</v>
      </c>
      <c r="C60" s="401"/>
      <c r="D60" s="402"/>
      <c r="F60" s="306"/>
      <c r="G60" s="306"/>
      <c r="H60" s="307">
        <v>0</v>
      </c>
      <c r="I60" s="115">
        <v>0</v>
      </c>
      <c r="J60" s="307"/>
      <c r="K60" s="308">
        <f t="shared" si="4"/>
        <v>0</v>
      </c>
    </row>
    <row r="61" spans="1:20" ht="18" customHeight="1" x14ac:dyDescent="0.4">
      <c r="A61" s="1" t="s">
        <v>99</v>
      </c>
      <c r="B61" s="483" t="s">
        <v>816</v>
      </c>
      <c r="C61" s="401"/>
      <c r="D61" s="402"/>
      <c r="F61" s="306"/>
      <c r="G61" s="306"/>
      <c r="H61" s="307">
        <v>273779</v>
      </c>
      <c r="I61" s="115">
        <v>0</v>
      </c>
      <c r="J61" s="307"/>
      <c r="K61" s="308">
        <f t="shared" si="4"/>
        <v>273779</v>
      </c>
    </row>
    <row r="62" spans="1:20" ht="18" customHeight="1" x14ac:dyDescent="0.4">
      <c r="A62" s="1" t="s">
        <v>538</v>
      </c>
      <c r="B62" s="483" t="s">
        <v>817</v>
      </c>
      <c r="C62" s="401"/>
      <c r="D62" s="402"/>
      <c r="F62" s="306"/>
      <c r="G62" s="306"/>
      <c r="H62" s="307">
        <v>50000</v>
      </c>
      <c r="I62" s="115">
        <v>0</v>
      </c>
      <c r="J62" s="307"/>
      <c r="K62" s="308">
        <f t="shared" si="4"/>
        <v>50000</v>
      </c>
    </row>
    <row r="63" spans="1:20" ht="18" customHeight="1" x14ac:dyDescent="0.4">
      <c r="A63" s="1"/>
      <c r="I63" s="403"/>
    </row>
    <row r="64" spans="1:20" ht="18" customHeight="1" x14ac:dyDescent="0.4">
      <c r="A64" s="1" t="s">
        <v>144</v>
      </c>
      <c r="B64" s="95" t="s">
        <v>145</v>
      </c>
      <c r="E64" s="95" t="s">
        <v>7</v>
      </c>
      <c r="F64" s="316">
        <f>SUM(F53:F62)+SUM(O53:O54)</f>
        <v>0</v>
      </c>
      <c r="G64" s="316">
        <f t="shared" ref="G64:K64" si="5">SUM(G53:G62)+SUM(P53:P54)</f>
        <v>0</v>
      </c>
      <c r="H64" s="316">
        <f t="shared" si="5"/>
        <v>16086808</v>
      </c>
      <c r="I64" s="316">
        <f t="shared" si="5"/>
        <v>13312.6</v>
      </c>
      <c r="J64" s="316">
        <f t="shared" si="5"/>
        <v>0</v>
      </c>
      <c r="K64" s="316">
        <f t="shared" si="5"/>
        <v>16100120.6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67">
        <v>386913</v>
      </c>
      <c r="I68" s="115">
        <v>0</v>
      </c>
      <c r="J68" s="367">
        <v>169726</v>
      </c>
      <c r="K68" s="308">
        <f>(H68+I68)-J68</f>
        <v>217187</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83"/>
      <c r="C70" s="401"/>
      <c r="D70" s="402"/>
      <c r="E70" s="95"/>
      <c r="F70" s="104"/>
      <c r="G70" s="104"/>
      <c r="H70" s="105">
        <v>0</v>
      </c>
      <c r="I70" s="115">
        <v>0</v>
      </c>
      <c r="J70" s="105">
        <v>0</v>
      </c>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6">SUM(F68:F72)</f>
        <v>0</v>
      </c>
      <c r="G74" s="411">
        <f t="shared" si="6"/>
        <v>0</v>
      </c>
      <c r="H74" s="554">
        <f t="shared" si="6"/>
        <v>386913</v>
      </c>
      <c r="I74" s="412">
        <f t="shared" si="6"/>
        <v>0</v>
      </c>
      <c r="J74" s="554">
        <f t="shared" si="6"/>
        <v>169726</v>
      </c>
      <c r="K74" s="308">
        <f t="shared" si="6"/>
        <v>217187</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0</v>
      </c>
      <c r="H77" s="307">
        <v>235988</v>
      </c>
      <c r="I77" s="115">
        <v>0</v>
      </c>
      <c r="J77" s="307"/>
      <c r="K77" s="308">
        <f>(H77+I77)-J77</f>
        <v>235988</v>
      </c>
    </row>
    <row r="78" spans="1:11" ht="18" customHeight="1" x14ac:dyDescent="0.4">
      <c r="A78" s="1" t="s">
        <v>108</v>
      </c>
      <c r="B78" s="94" t="s">
        <v>55</v>
      </c>
      <c r="F78" s="306">
        <v>0</v>
      </c>
      <c r="G78" s="306">
        <v>0</v>
      </c>
      <c r="H78" s="307">
        <v>0</v>
      </c>
      <c r="I78" s="115">
        <v>0</v>
      </c>
      <c r="J78" s="307"/>
      <c r="K78" s="308">
        <f>(H78+I78)-J78</f>
        <v>0</v>
      </c>
    </row>
    <row r="79" spans="1:11" ht="18" customHeight="1" x14ac:dyDescent="0.4">
      <c r="A79" s="1" t="s">
        <v>109</v>
      </c>
      <c r="B79" s="94" t="s">
        <v>13</v>
      </c>
      <c r="F79" s="306">
        <v>455</v>
      </c>
      <c r="G79" s="306">
        <v>480</v>
      </c>
      <c r="H79" s="307">
        <v>33519.199999999997</v>
      </c>
      <c r="I79" s="115">
        <v>0</v>
      </c>
      <c r="J79" s="307"/>
      <c r="K79" s="308">
        <f>(H79+I79)-J79</f>
        <v>33519.199999999997</v>
      </c>
    </row>
    <row r="80" spans="1:11" ht="18" customHeight="1" x14ac:dyDescent="0.4">
      <c r="A80" s="1" t="s">
        <v>110</v>
      </c>
      <c r="B80" s="94" t="s">
        <v>56</v>
      </c>
      <c r="F80" s="306">
        <v>0</v>
      </c>
      <c r="G80" s="306">
        <v>0</v>
      </c>
      <c r="H80" s="307">
        <v>0</v>
      </c>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7">SUM(F77:F80)</f>
        <v>455</v>
      </c>
      <c r="G82" s="411">
        <f t="shared" si="7"/>
        <v>480</v>
      </c>
      <c r="H82" s="308">
        <f t="shared" si="7"/>
        <v>269507.20000000001</v>
      </c>
      <c r="I82" s="308">
        <f t="shared" si="7"/>
        <v>0</v>
      </c>
      <c r="J82" s="308">
        <f t="shared" si="7"/>
        <v>0</v>
      </c>
      <c r="K82" s="308">
        <f t="shared" si="7"/>
        <v>269507.20000000001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07">
        <v>0</v>
      </c>
      <c r="I86" s="115">
        <v>0</v>
      </c>
      <c r="J86" s="307">
        <v>0</v>
      </c>
      <c r="K86" s="308">
        <f t="shared" ref="K86:K96" si="8">(H86+I86)-J86</f>
        <v>0</v>
      </c>
    </row>
    <row r="87" spans="1:11" ht="18" customHeight="1" x14ac:dyDescent="0.4">
      <c r="A87" s="1" t="s">
        <v>114</v>
      </c>
      <c r="B87" s="94" t="s">
        <v>14</v>
      </c>
      <c r="F87" s="306"/>
      <c r="G87" s="306"/>
      <c r="H87" s="307"/>
      <c r="I87" s="115"/>
      <c r="J87" s="307">
        <v>0</v>
      </c>
      <c r="K87" s="308">
        <f t="shared" si="8"/>
        <v>0</v>
      </c>
    </row>
    <row r="88" spans="1:11" ht="18" customHeight="1" x14ac:dyDescent="0.4">
      <c r="A88" s="1" t="s">
        <v>115</v>
      </c>
      <c r="B88" s="94" t="s">
        <v>116</v>
      </c>
      <c r="F88" s="306">
        <v>2238</v>
      </c>
      <c r="G88" s="306">
        <v>113</v>
      </c>
      <c r="H88" s="307">
        <v>337454.28</v>
      </c>
      <c r="I88" s="115">
        <v>197815.69</v>
      </c>
      <c r="J88" s="307">
        <v>0</v>
      </c>
      <c r="K88" s="308">
        <f t="shared" si="8"/>
        <v>535269.97</v>
      </c>
    </row>
    <row r="89" spans="1:11" ht="18" customHeight="1" x14ac:dyDescent="0.4">
      <c r="A89" s="1" t="s">
        <v>117</v>
      </c>
      <c r="B89" s="94" t="s">
        <v>58</v>
      </c>
      <c r="F89" s="306"/>
      <c r="G89" s="306"/>
      <c r="H89" s="307"/>
      <c r="I89" s="115"/>
      <c r="J89" s="307">
        <v>0</v>
      </c>
      <c r="K89" s="308">
        <f t="shared" si="8"/>
        <v>0</v>
      </c>
    </row>
    <row r="90" spans="1:11" ht="18" customHeight="1" x14ac:dyDescent="0.4">
      <c r="A90" s="1" t="s">
        <v>118</v>
      </c>
      <c r="B90" s="635" t="s">
        <v>59</v>
      </c>
      <c r="C90" s="636"/>
      <c r="F90" s="306">
        <v>78</v>
      </c>
      <c r="G90" s="306">
        <v>15</v>
      </c>
      <c r="H90" s="307">
        <v>6743.03</v>
      </c>
      <c r="I90" s="115">
        <v>3952.76</v>
      </c>
      <c r="J90" s="307">
        <v>0</v>
      </c>
      <c r="K90" s="308">
        <f t="shared" si="8"/>
        <v>10695.79</v>
      </c>
    </row>
    <row r="91" spans="1:11" ht="18" customHeight="1" x14ac:dyDescent="0.4">
      <c r="A91" s="1" t="s">
        <v>119</v>
      </c>
      <c r="B91" s="94" t="s">
        <v>60</v>
      </c>
      <c r="F91" s="306">
        <v>1</v>
      </c>
      <c r="G91" s="306">
        <v>1</v>
      </c>
      <c r="H91" s="307">
        <v>52.16</v>
      </c>
      <c r="I91" s="115">
        <v>30.58</v>
      </c>
      <c r="J91" s="307">
        <v>0</v>
      </c>
      <c r="K91" s="308">
        <f t="shared" si="8"/>
        <v>82.74</v>
      </c>
    </row>
    <row r="92" spans="1:11" ht="18" customHeight="1" x14ac:dyDescent="0.4">
      <c r="A92" s="1" t="s">
        <v>120</v>
      </c>
      <c r="B92" s="94" t="s">
        <v>121</v>
      </c>
      <c r="F92" s="107">
        <v>0</v>
      </c>
      <c r="G92" s="107">
        <v>0</v>
      </c>
      <c r="H92" s="108">
        <v>0</v>
      </c>
      <c r="I92" s="115">
        <v>0</v>
      </c>
      <c r="J92" s="108">
        <v>0</v>
      </c>
      <c r="K92" s="308">
        <f t="shared" si="8"/>
        <v>0</v>
      </c>
    </row>
    <row r="93" spans="1:11" ht="18" customHeight="1" x14ac:dyDescent="0.4">
      <c r="A93" s="1" t="s">
        <v>122</v>
      </c>
      <c r="B93" s="94" t="s">
        <v>123</v>
      </c>
      <c r="F93" s="306">
        <v>4</v>
      </c>
      <c r="G93" s="306">
        <v>2</v>
      </c>
      <c r="H93" s="307">
        <v>312.98</v>
      </c>
      <c r="I93" s="115">
        <v>183.47</v>
      </c>
      <c r="J93" s="307">
        <v>0</v>
      </c>
      <c r="K93" s="308">
        <f t="shared" si="8"/>
        <v>496.45000000000005</v>
      </c>
    </row>
    <row r="94" spans="1:11" ht="18" customHeight="1" x14ac:dyDescent="0.4">
      <c r="A94" s="1" t="s">
        <v>124</v>
      </c>
      <c r="B94" s="652"/>
      <c r="C94" s="653"/>
      <c r="D94" s="654"/>
      <c r="F94" s="306"/>
      <c r="G94" s="306"/>
      <c r="H94" s="307"/>
      <c r="I94" s="115">
        <f>H94*F$114</f>
        <v>0</v>
      </c>
      <c r="J94" s="307"/>
      <c r="K94" s="308">
        <f t="shared" si="8"/>
        <v>0</v>
      </c>
    </row>
    <row r="95" spans="1:11" ht="18" customHeight="1" x14ac:dyDescent="0.4">
      <c r="A95" s="1" t="s">
        <v>125</v>
      </c>
      <c r="B95" s="655"/>
      <c r="C95" s="653"/>
      <c r="D95" s="654"/>
      <c r="F95" s="306"/>
      <c r="G95" s="306"/>
      <c r="H95" s="307"/>
      <c r="I95" s="115">
        <f>H95*F$114</f>
        <v>0</v>
      </c>
      <c r="J95" s="307"/>
      <c r="K95" s="308">
        <f t="shared" si="8"/>
        <v>0</v>
      </c>
    </row>
    <row r="96" spans="1:11" ht="18" customHeight="1" x14ac:dyDescent="0.4">
      <c r="A96" s="1" t="s">
        <v>126</v>
      </c>
      <c r="B96" s="655"/>
      <c r="C96" s="653"/>
      <c r="D96" s="654"/>
      <c r="F96" s="306"/>
      <c r="G96" s="306"/>
      <c r="H96" s="307"/>
      <c r="I96" s="115">
        <f>H96*F$114</f>
        <v>0</v>
      </c>
      <c r="J96" s="307"/>
      <c r="K96" s="308">
        <f t="shared" si="8"/>
        <v>0</v>
      </c>
    </row>
    <row r="97" spans="1:11" ht="18" customHeight="1" x14ac:dyDescent="0.4">
      <c r="A97" s="1"/>
      <c r="B97" s="94"/>
    </row>
    <row r="98" spans="1:11" ht="18" customHeight="1" x14ac:dyDescent="0.4">
      <c r="A98" s="98" t="s">
        <v>150</v>
      </c>
      <c r="B98" s="95" t="s">
        <v>151</v>
      </c>
      <c r="E98" s="95" t="s">
        <v>7</v>
      </c>
      <c r="F98" s="310">
        <f t="shared" ref="F98:K98" si="9">SUM(F86:F96)</f>
        <v>2321</v>
      </c>
      <c r="G98" s="310">
        <f t="shared" si="9"/>
        <v>131</v>
      </c>
      <c r="H98" s="308">
        <f t="shared" si="9"/>
        <v>344562.45</v>
      </c>
      <c r="I98" s="308">
        <f t="shared" si="9"/>
        <v>201982.5</v>
      </c>
      <c r="J98" s="308">
        <f t="shared" si="9"/>
        <v>0</v>
      </c>
      <c r="K98" s="308">
        <f t="shared" si="9"/>
        <v>546544.94999999995</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2955</v>
      </c>
      <c r="G102" s="306">
        <v>0</v>
      </c>
      <c r="H102" s="307">
        <v>360321.52710449137</v>
      </c>
      <c r="I102" s="115">
        <v>211220.47918865285</v>
      </c>
      <c r="J102" s="307">
        <v>0</v>
      </c>
      <c r="K102" s="308">
        <f>(H102+I102)-J102</f>
        <v>571542.00629314419</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0">SUM(F102:F106)</f>
        <v>2955</v>
      </c>
      <c r="G108" s="310">
        <f t="shared" si="10"/>
        <v>0</v>
      </c>
      <c r="H108" s="308">
        <f t="shared" si="10"/>
        <v>360321.52710449137</v>
      </c>
      <c r="I108" s="308">
        <f t="shared" si="10"/>
        <v>211220.47918865285</v>
      </c>
      <c r="J108" s="308">
        <f t="shared" si="10"/>
        <v>0</v>
      </c>
      <c r="K108" s="308">
        <f t="shared" si="10"/>
        <v>571542.00629314419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4678770.95</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0.58620000000000005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253763000</v>
      </c>
    </row>
    <row r="118" spans="1:6" ht="18" customHeight="1" x14ac:dyDescent="0.4">
      <c r="A118" s="1" t="s">
        <v>173</v>
      </c>
      <c r="B118" t="s">
        <v>18</v>
      </c>
      <c r="F118" s="307">
        <f>20757000+392000</f>
        <v>21149000</v>
      </c>
    </row>
    <row r="119" spans="1:6" ht="18" customHeight="1" x14ac:dyDescent="0.4">
      <c r="A119" s="1" t="s">
        <v>174</v>
      </c>
      <c r="B119" s="95" t="s">
        <v>19</v>
      </c>
      <c r="F119" s="308">
        <f>SUM(F117:F118)</f>
        <v>274912000</v>
      </c>
    </row>
    <row r="120" spans="1:6" ht="18" customHeight="1" x14ac:dyDescent="0.4">
      <c r="A120" s="1"/>
      <c r="B120" s="95"/>
    </row>
    <row r="121" spans="1:6" ht="18" customHeight="1" x14ac:dyDescent="0.4">
      <c r="A121" s="1" t="s">
        <v>167</v>
      </c>
      <c r="B121" s="95" t="s">
        <v>36</v>
      </c>
      <c r="F121" s="307">
        <v>262623000</v>
      </c>
    </row>
    <row r="122" spans="1:6" ht="18" customHeight="1" x14ac:dyDescent="0.4">
      <c r="A122" s="1"/>
    </row>
    <row r="123" spans="1:6" ht="18" customHeight="1" x14ac:dyDescent="0.4">
      <c r="A123" s="1" t="s">
        <v>175</v>
      </c>
      <c r="B123" s="95" t="s">
        <v>20</v>
      </c>
      <c r="F123" s="307">
        <f>F119-F121</f>
        <v>12289000</v>
      </c>
    </row>
    <row r="124" spans="1:6" ht="18" customHeight="1" x14ac:dyDescent="0.4">
      <c r="A124" s="1"/>
    </row>
    <row r="125" spans="1:6" ht="18" customHeight="1" x14ac:dyDescent="0.4">
      <c r="A125" s="1" t="s">
        <v>176</v>
      </c>
      <c r="B125" s="95" t="s">
        <v>21</v>
      </c>
      <c r="F125" s="307">
        <f>(-1151-7761+3199-2357-3908)*1000</f>
        <v>-11978000</v>
      </c>
    </row>
    <row r="126" spans="1:6" ht="18" customHeight="1" x14ac:dyDescent="0.4">
      <c r="A126" s="1"/>
    </row>
    <row r="127" spans="1:6" ht="18" customHeight="1" x14ac:dyDescent="0.4">
      <c r="A127" s="1" t="s">
        <v>177</v>
      </c>
      <c r="B127" s="95" t="s">
        <v>22</v>
      </c>
      <c r="F127" s="307">
        <f>F123+F125</f>
        <v>311000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1">SUM(F131:F135)</f>
        <v>0</v>
      </c>
      <c r="G137" s="310">
        <f t="shared" si="11"/>
        <v>0</v>
      </c>
      <c r="H137" s="308">
        <f t="shared" si="11"/>
        <v>0</v>
      </c>
      <c r="I137" s="308">
        <f t="shared" si="11"/>
        <v>0</v>
      </c>
      <c r="J137" s="308">
        <f t="shared" si="11"/>
        <v>0</v>
      </c>
      <c r="K137" s="308">
        <f t="shared" si="11"/>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2">F36</f>
        <v>22010</v>
      </c>
      <c r="G141" s="109">
        <f t="shared" si="12"/>
        <v>750100</v>
      </c>
      <c r="H141" s="109">
        <f t="shared" si="12"/>
        <v>3041361.62</v>
      </c>
      <c r="I141" s="109">
        <f t="shared" si="12"/>
        <v>1483549.44</v>
      </c>
      <c r="J141" s="109">
        <f t="shared" si="12"/>
        <v>0</v>
      </c>
      <c r="K141" s="109">
        <f t="shared" si="12"/>
        <v>4524911.0599999996</v>
      </c>
    </row>
    <row r="142" spans="1:11" ht="18" customHeight="1" x14ac:dyDescent="0.4">
      <c r="A142" s="1" t="s">
        <v>142</v>
      </c>
      <c r="B142" s="95" t="s">
        <v>65</v>
      </c>
      <c r="F142" s="109">
        <f t="shared" ref="F142:K142" si="13">F49</f>
        <v>9657</v>
      </c>
      <c r="G142" s="109">
        <f t="shared" si="13"/>
        <v>541</v>
      </c>
      <c r="H142" s="109">
        <f t="shared" si="13"/>
        <v>922058.77</v>
      </c>
      <c r="I142" s="109">
        <f t="shared" si="13"/>
        <v>540510.86</v>
      </c>
      <c r="J142" s="109">
        <f t="shared" si="13"/>
        <v>0</v>
      </c>
      <c r="K142" s="109">
        <f t="shared" si="13"/>
        <v>1462569.63</v>
      </c>
    </row>
    <row r="143" spans="1:11" ht="18" customHeight="1" x14ac:dyDescent="0.4">
      <c r="A143" s="1" t="s">
        <v>144</v>
      </c>
      <c r="B143" s="95" t="s">
        <v>66</v>
      </c>
      <c r="F143" s="109">
        <f t="shared" ref="F143:K143" si="14">F64</f>
        <v>0</v>
      </c>
      <c r="G143" s="109">
        <f t="shared" si="14"/>
        <v>0</v>
      </c>
      <c r="H143" s="109">
        <f t="shared" si="14"/>
        <v>16086808</v>
      </c>
      <c r="I143" s="109">
        <f t="shared" si="14"/>
        <v>13312.6</v>
      </c>
      <c r="J143" s="109">
        <f t="shared" si="14"/>
        <v>0</v>
      </c>
      <c r="K143" s="109">
        <f t="shared" si="14"/>
        <v>16100120.6</v>
      </c>
    </row>
    <row r="144" spans="1:11" ht="18" customHeight="1" x14ac:dyDescent="0.4">
      <c r="A144" s="1" t="s">
        <v>146</v>
      </c>
      <c r="B144" s="95" t="s">
        <v>67</v>
      </c>
      <c r="F144" s="109">
        <f t="shared" ref="F144:K144" si="15">F74</f>
        <v>0</v>
      </c>
      <c r="G144" s="109">
        <f t="shared" si="15"/>
        <v>0</v>
      </c>
      <c r="H144" s="109">
        <f t="shared" si="15"/>
        <v>386913</v>
      </c>
      <c r="I144" s="109">
        <f t="shared" si="15"/>
        <v>0</v>
      </c>
      <c r="J144" s="109">
        <f t="shared" si="15"/>
        <v>169726</v>
      </c>
      <c r="K144" s="109">
        <f t="shared" si="15"/>
        <v>217187</v>
      </c>
    </row>
    <row r="145" spans="1:11" ht="18" customHeight="1" x14ac:dyDescent="0.4">
      <c r="A145" s="1" t="s">
        <v>148</v>
      </c>
      <c r="B145" s="95" t="s">
        <v>68</v>
      </c>
      <c r="F145" s="109">
        <f t="shared" ref="F145:K145" si="16">F82</f>
        <v>455</v>
      </c>
      <c r="G145" s="109">
        <f t="shared" si="16"/>
        <v>480</v>
      </c>
      <c r="H145" s="109">
        <f t="shared" si="16"/>
        <v>269507.20000000001</v>
      </c>
      <c r="I145" s="109">
        <f t="shared" si="16"/>
        <v>0</v>
      </c>
      <c r="J145" s="109">
        <f t="shared" si="16"/>
        <v>0</v>
      </c>
      <c r="K145" s="109">
        <f t="shared" si="16"/>
        <v>269507.20000000001</v>
      </c>
    </row>
    <row r="146" spans="1:11" ht="18" customHeight="1" x14ac:dyDescent="0.4">
      <c r="A146" s="1" t="s">
        <v>150</v>
      </c>
      <c r="B146" s="95" t="s">
        <v>69</v>
      </c>
      <c r="F146" s="109">
        <f t="shared" ref="F146:K146" si="17">F98</f>
        <v>2321</v>
      </c>
      <c r="G146" s="109">
        <f t="shared" si="17"/>
        <v>131</v>
      </c>
      <c r="H146" s="109">
        <f t="shared" si="17"/>
        <v>344562.45</v>
      </c>
      <c r="I146" s="109">
        <f t="shared" si="17"/>
        <v>201982.5</v>
      </c>
      <c r="J146" s="109">
        <f t="shared" si="17"/>
        <v>0</v>
      </c>
      <c r="K146" s="109">
        <f t="shared" si="17"/>
        <v>546544.94999999995</v>
      </c>
    </row>
    <row r="147" spans="1:11" ht="18" customHeight="1" x14ac:dyDescent="0.4">
      <c r="A147" s="1" t="s">
        <v>153</v>
      </c>
      <c r="B147" s="95" t="s">
        <v>61</v>
      </c>
      <c r="F147" s="310">
        <f t="shared" ref="F147:K147" si="18">F108</f>
        <v>2955</v>
      </c>
      <c r="G147" s="310">
        <f t="shared" si="18"/>
        <v>0</v>
      </c>
      <c r="H147" s="310">
        <f t="shared" si="18"/>
        <v>360321.52710449137</v>
      </c>
      <c r="I147" s="310">
        <f t="shared" si="18"/>
        <v>211220.47918865285</v>
      </c>
      <c r="J147" s="310">
        <f t="shared" si="18"/>
        <v>0</v>
      </c>
      <c r="K147" s="310">
        <f t="shared" si="18"/>
        <v>571542.00629314419</v>
      </c>
    </row>
    <row r="148" spans="1:11" ht="18" customHeight="1" x14ac:dyDescent="0.4">
      <c r="A148" s="1" t="s">
        <v>155</v>
      </c>
      <c r="B148" s="95" t="s">
        <v>70</v>
      </c>
      <c r="F148" s="110" t="s">
        <v>73</v>
      </c>
      <c r="G148" s="110" t="s">
        <v>73</v>
      </c>
      <c r="H148" s="111" t="s">
        <v>73</v>
      </c>
      <c r="I148" s="111" t="s">
        <v>73</v>
      </c>
      <c r="J148" s="111" t="s">
        <v>73</v>
      </c>
      <c r="K148" s="217">
        <f>F111</f>
        <v>4678770.95</v>
      </c>
    </row>
    <row r="149" spans="1:11" ht="18" customHeight="1" x14ac:dyDescent="0.4">
      <c r="A149" s="1" t="s">
        <v>163</v>
      </c>
      <c r="B149" s="95" t="s">
        <v>71</v>
      </c>
      <c r="F149" s="310">
        <f t="shared" ref="F149:K149" si="19">F137</f>
        <v>0</v>
      </c>
      <c r="G149" s="310">
        <f t="shared" si="19"/>
        <v>0</v>
      </c>
      <c r="H149" s="310">
        <f t="shared" si="19"/>
        <v>0</v>
      </c>
      <c r="I149" s="310">
        <f t="shared" si="19"/>
        <v>0</v>
      </c>
      <c r="J149" s="310">
        <f t="shared" si="19"/>
        <v>0</v>
      </c>
      <c r="K149" s="310">
        <f t="shared" si="19"/>
        <v>0</v>
      </c>
    </row>
    <row r="150" spans="1:11" ht="18" customHeight="1" x14ac:dyDescent="0.4">
      <c r="A150" s="1" t="s">
        <v>185</v>
      </c>
      <c r="B150" s="95" t="s">
        <v>186</v>
      </c>
      <c r="F150" s="110" t="s">
        <v>73</v>
      </c>
      <c r="G150" s="110" t="s">
        <v>73</v>
      </c>
      <c r="H150" s="310">
        <f>H18</f>
        <v>5668203.6600000001</v>
      </c>
      <c r="I150" s="310">
        <f>I18</f>
        <v>0</v>
      </c>
      <c r="J150" s="310">
        <f>J18</f>
        <v>4697638.0199999996</v>
      </c>
      <c r="K150" s="310">
        <f>K18</f>
        <v>970565.6400000006</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0">SUM(F141:F150)</f>
        <v>37398</v>
      </c>
      <c r="G152" s="114">
        <f t="shared" si="20"/>
        <v>751252</v>
      </c>
      <c r="H152" s="114">
        <f t="shared" si="20"/>
        <v>27079736.227104489</v>
      </c>
      <c r="I152" s="114">
        <f t="shared" si="20"/>
        <v>2450575.8791886526</v>
      </c>
      <c r="J152" s="114">
        <f t="shared" si="20"/>
        <v>4867364.0199999996</v>
      </c>
      <c r="K152" s="114">
        <f t="shared" si="20"/>
        <v>29341719.036293142</v>
      </c>
    </row>
    <row r="154" spans="1:11" ht="18" customHeight="1" x14ac:dyDescent="0.4">
      <c r="A154" s="98" t="s">
        <v>168</v>
      </c>
      <c r="B154" s="95" t="s">
        <v>28</v>
      </c>
      <c r="F154" s="318">
        <f>K152/F121</f>
        <v>0.1117256258450065</v>
      </c>
    </row>
    <row r="155" spans="1:11" ht="18" customHeight="1" x14ac:dyDescent="0.4">
      <c r="A155" s="98" t="s">
        <v>169</v>
      </c>
      <c r="B155" s="95" t="s">
        <v>72</v>
      </c>
      <c r="F155" s="318">
        <f>K152/F127</f>
        <v>94.346363460749657</v>
      </c>
      <c r="G155" s="95"/>
    </row>
    <row r="156" spans="1:11" ht="18" customHeight="1" x14ac:dyDescent="0.4">
      <c r="G156" s="95"/>
    </row>
  </sheetData>
  <mergeCells count="33">
    <mergeCell ref="B53:D53"/>
    <mergeCell ref="B55:D55"/>
    <mergeCell ref="B56:D56"/>
    <mergeCell ref="B57:D57"/>
    <mergeCell ref="B59:D59"/>
    <mergeCell ref="B103:C103"/>
    <mergeCell ref="D2:H2"/>
    <mergeCell ref="B134:D134"/>
    <mergeCell ref="B135:D135"/>
    <mergeCell ref="B133:D133"/>
    <mergeCell ref="B104:D104"/>
    <mergeCell ref="B105:D105"/>
    <mergeCell ref="B106:D106"/>
    <mergeCell ref="B96:D96"/>
    <mergeCell ref="B95:D95"/>
    <mergeCell ref="B94:D94"/>
    <mergeCell ref="B52:C52"/>
    <mergeCell ref="B90:C90"/>
    <mergeCell ref="B45:D45"/>
    <mergeCell ref="B46:D46"/>
    <mergeCell ref="B47:D47"/>
    <mergeCell ref="B34:D34"/>
    <mergeCell ref="C11:G11"/>
    <mergeCell ref="B41:C41"/>
    <mergeCell ref="B44:D44"/>
    <mergeCell ref="B13:H13"/>
    <mergeCell ref="B30:D30"/>
    <mergeCell ref="B31:D31"/>
    <mergeCell ref="C5:G5"/>
    <mergeCell ref="C6:G6"/>
    <mergeCell ref="C7:G7"/>
    <mergeCell ref="C9:G9"/>
    <mergeCell ref="C10:G10"/>
  </mergeCells>
  <hyperlinks>
    <hyperlink ref="C11" r:id="rId1" xr:uid="{17E292AB-0F3E-4474-A719-DCC72D28D41E}"/>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dimension ref="A1:K156"/>
  <sheetViews>
    <sheetView showGridLines="0" topLeftCell="A133" zoomScale="85" zoomScaleNormal="85" zoomScaleSheetLayoutView="50" workbookViewId="0">
      <selection activeCell="J110" sqref="J110"/>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646</v>
      </c>
      <c r="D5" s="666"/>
      <c r="E5" s="666"/>
      <c r="F5" s="666"/>
      <c r="G5" s="667"/>
    </row>
    <row r="6" spans="1:11" ht="18" customHeight="1" x14ac:dyDescent="0.4">
      <c r="B6" s="1" t="s">
        <v>3</v>
      </c>
      <c r="C6" s="683">
        <v>210049</v>
      </c>
      <c r="D6" s="684"/>
      <c r="E6" s="684"/>
      <c r="F6" s="684"/>
      <c r="G6" s="685"/>
    </row>
    <row r="7" spans="1:11" ht="18" customHeight="1" x14ac:dyDescent="0.4">
      <c r="B7" s="1" t="s">
        <v>4</v>
      </c>
      <c r="C7" s="686">
        <v>2477</v>
      </c>
      <c r="D7" s="687"/>
      <c r="E7" s="687"/>
      <c r="F7" s="687"/>
      <c r="G7" s="688"/>
    </row>
    <row r="9" spans="1:11" ht="18" customHeight="1" x14ac:dyDescent="0.4">
      <c r="B9" s="1" t="s">
        <v>1</v>
      </c>
      <c r="C9" s="663" t="s">
        <v>609</v>
      </c>
      <c r="D9" s="666"/>
      <c r="E9" s="666"/>
      <c r="F9" s="666"/>
      <c r="G9" s="667"/>
    </row>
    <row r="10" spans="1:11" ht="18" customHeight="1" x14ac:dyDescent="0.4">
      <c r="B10" s="1" t="s">
        <v>2</v>
      </c>
      <c r="C10" s="660" t="s">
        <v>389</v>
      </c>
      <c r="D10" s="661"/>
      <c r="E10" s="661"/>
      <c r="F10" s="661"/>
      <c r="G10" s="662"/>
    </row>
    <row r="11" spans="1:11" ht="18" customHeight="1" x14ac:dyDescent="0.4">
      <c r="B11" s="1" t="s">
        <v>32</v>
      </c>
      <c r="C11" s="682" t="s">
        <v>610</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5996991.9100000001</v>
      </c>
      <c r="I18" s="115">
        <v>0</v>
      </c>
      <c r="J18" s="307">
        <v>4970127.91</v>
      </c>
      <c r="K18" s="308">
        <f>(H18+I18)-J18</f>
        <v>1026864</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3337.46</v>
      </c>
      <c r="G21" s="306">
        <v>186875.5</v>
      </c>
      <c r="H21" s="307">
        <v>107546.6</v>
      </c>
      <c r="I21" s="115">
        <f t="shared" ref="I21:I34" si="0">H21*F$114</f>
        <v>66678.892000000007</v>
      </c>
      <c r="J21" s="307">
        <v>11570.3</v>
      </c>
      <c r="K21" s="308">
        <f t="shared" ref="K21:K34" si="1">(H21+I21)-J21</f>
        <v>162655.19200000004</v>
      </c>
    </row>
    <row r="22" spans="1:11" ht="18" customHeight="1" x14ac:dyDescent="0.4">
      <c r="A22" s="1" t="s">
        <v>76</v>
      </c>
      <c r="B22" t="s">
        <v>6</v>
      </c>
      <c r="F22" s="306">
        <v>293.3</v>
      </c>
      <c r="G22" s="306">
        <v>1309.7</v>
      </c>
      <c r="H22" s="307">
        <v>11485.6</v>
      </c>
      <c r="I22" s="115">
        <f t="shared" si="0"/>
        <v>7121.0720000000001</v>
      </c>
      <c r="J22" s="307">
        <v>0</v>
      </c>
      <c r="K22" s="308">
        <f t="shared" si="1"/>
        <v>18606.671999999999</v>
      </c>
    </row>
    <row r="23" spans="1:11" ht="18" customHeight="1" x14ac:dyDescent="0.4">
      <c r="A23" s="1" t="s">
        <v>77</v>
      </c>
      <c r="B23" t="s">
        <v>43</v>
      </c>
      <c r="F23" s="306">
        <v>532.55999999999995</v>
      </c>
      <c r="G23" s="306">
        <v>212.8</v>
      </c>
      <c r="H23" s="307">
        <v>24985.1</v>
      </c>
      <c r="I23" s="115">
        <f t="shared" si="0"/>
        <v>15490.761999999999</v>
      </c>
      <c r="J23" s="307">
        <v>2394</v>
      </c>
      <c r="K23" s="308">
        <f t="shared" si="1"/>
        <v>38081.861999999994</v>
      </c>
    </row>
    <row r="24" spans="1:11" ht="18" customHeight="1" x14ac:dyDescent="0.4">
      <c r="A24" s="1" t="s">
        <v>78</v>
      </c>
      <c r="B24" t="s">
        <v>44</v>
      </c>
      <c r="F24" s="306">
        <v>4843.16</v>
      </c>
      <c r="G24" s="306">
        <v>1474.2</v>
      </c>
      <c r="H24" s="307">
        <v>738812.2</v>
      </c>
      <c r="I24" s="115">
        <f t="shared" si="0"/>
        <v>458063.56399999995</v>
      </c>
      <c r="J24" s="307">
        <v>283228.40000000002</v>
      </c>
      <c r="K24" s="308">
        <f t="shared" si="1"/>
        <v>913647.36399999994</v>
      </c>
    </row>
    <row r="25" spans="1:11" ht="18" customHeight="1" x14ac:dyDescent="0.4">
      <c r="A25" s="1" t="s">
        <v>79</v>
      </c>
      <c r="B25" t="s">
        <v>5</v>
      </c>
      <c r="F25" s="306">
        <v>2850.75</v>
      </c>
      <c r="G25" s="306">
        <v>5812.1</v>
      </c>
      <c r="H25" s="307">
        <v>45147.9</v>
      </c>
      <c r="I25" s="115">
        <f t="shared" si="0"/>
        <v>27991.698</v>
      </c>
      <c r="J25" s="307">
        <v>0</v>
      </c>
      <c r="K25" s="308">
        <f t="shared" si="1"/>
        <v>73139.597999999998</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v>1480.71</v>
      </c>
      <c r="G28" s="306">
        <v>32.9</v>
      </c>
      <c r="H28" s="307">
        <v>36003.1</v>
      </c>
      <c r="I28" s="115">
        <f t="shared" si="0"/>
        <v>22321.921999999999</v>
      </c>
      <c r="J28" s="307">
        <v>6646.5</v>
      </c>
      <c r="K28" s="308">
        <f t="shared" si="1"/>
        <v>51678.521999999997</v>
      </c>
    </row>
    <row r="29" spans="1:11" ht="18" customHeight="1" x14ac:dyDescent="0.4">
      <c r="A29" s="1" t="s">
        <v>83</v>
      </c>
      <c r="B29" t="s">
        <v>48</v>
      </c>
      <c r="F29" s="306">
        <v>1565.06</v>
      </c>
      <c r="G29" s="306">
        <v>2333.8000000000002</v>
      </c>
      <c r="H29" s="307">
        <v>255731</v>
      </c>
      <c r="I29" s="115">
        <f t="shared" si="0"/>
        <v>158553.22</v>
      </c>
      <c r="J29" s="307">
        <v>0</v>
      </c>
      <c r="K29" s="308">
        <f t="shared" si="1"/>
        <v>414284.22</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14902.999999999998</v>
      </c>
      <c r="G36" s="310">
        <f t="shared" si="2"/>
        <v>198051</v>
      </c>
      <c r="H36" s="316">
        <f t="shared" si="2"/>
        <v>1219711.5</v>
      </c>
      <c r="I36" s="308">
        <f t="shared" si="2"/>
        <v>756221.12999999989</v>
      </c>
      <c r="J36" s="308">
        <f t="shared" si="2"/>
        <v>303839.2</v>
      </c>
      <c r="K36" s="308">
        <f t="shared" si="2"/>
        <v>1672093.43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1063.8</v>
      </c>
      <c r="G40" s="306">
        <v>0</v>
      </c>
      <c r="H40" s="307">
        <v>145244.4</v>
      </c>
      <c r="I40" s="115">
        <f t="shared" ref="I40:I42" si="3">H40*F$114</f>
        <v>90051.527999999991</v>
      </c>
      <c r="J40" s="307">
        <v>0</v>
      </c>
      <c r="K40" s="308">
        <f t="shared" ref="K40:K47" si="4">(H40+I40)-J40</f>
        <v>235295.92799999999</v>
      </c>
    </row>
    <row r="41" spans="1:11" ht="18" customHeight="1" x14ac:dyDescent="0.4">
      <c r="A41" s="1" t="s">
        <v>88</v>
      </c>
      <c r="B41" s="635" t="s">
        <v>50</v>
      </c>
      <c r="C41" s="636"/>
      <c r="F41" s="306">
        <v>1236.7</v>
      </c>
      <c r="G41" s="306">
        <v>0</v>
      </c>
      <c r="H41" s="307">
        <v>50668.800000000003</v>
      </c>
      <c r="I41" s="115">
        <f t="shared" si="3"/>
        <v>31414.656000000003</v>
      </c>
      <c r="J41" s="307">
        <v>0</v>
      </c>
      <c r="K41" s="308">
        <f t="shared" si="4"/>
        <v>82083.456000000006</v>
      </c>
    </row>
    <row r="42" spans="1:11" ht="18" customHeight="1" x14ac:dyDescent="0.4">
      <c r="A42" s="1" t="s">
        <v>89</v>
      </c>
      <c r="B42" s="94" t="s">
        <v>11</v>
      </c>
      <c r="F42" s="306">
        <v>7368.2</v>
      </c>
      <c r="G42" s="306">
        <v>0</v>
      </c>
      <c r="H42" s="307">
        <v>318635.09999999998</v>
      </c>
      <c r="I42" s="115">
        <f t="shared" si="3"/>
        <v>197553.76199999999</v>
      </c>
      <c r="J42" s="307">
        <v>0</v>
      </c>
      <c r="K42" s="308">
        <f t="shared" si="4"/>
        <v>516188.86199999996</v>
      </c>
    </row>
    <row r="43" spans="1:11" ht="18" customHeight="1" x14ac:dyDescent="0.4">
      <c r="A43" s="1" t="s">
        <v>90</v>
      </c>
      <c r="B43" s="94" t="s">
        <v>10</v>
      </c>
      <c r="F43" s="306"/>
      <c r="G43" s="306"/>
      <c r="H43" s="307"/>
      <c r="I43" s="115">
        <v>0</v>
      </c>
      <c r="J43" s="307"/>
      <c r="K43" s="308">
        <f t="shared" si="4"/>
        <v>0</v>
      </c>
    </row>
    <row r="44" spans="1:11" ht="18" customHeight="1" x14ac:dyDescent="0.4">
      <c r="A44" s="1" t="s">
        <v>91</v>
      </c>
      <c r="B44" s="630"/>
      <c r="C44" s="631"/>
      <c r="D44" s="632"/>
      <c r="F44" s="311"/>
      <c r="G44" s="311"/>
      <c r="H44" s="311"/>
      <c r="I44" s="116">
        <v>0</v>
      </c>
      <c r="J44" s="311"/>
      <c r="K44" s="353">
        <f t="shared" si="4"/>
        <v>0</v>
      </c>
    </row>
    <row r="45" spans="1:11" ht="18" customHeight="1" x14ac:dyDescent="0.4">
      <c r="A45" s="1" t="s">
        <v>139</v>
      </c>
      <c r="B45" s="630"/>
      <c r="C45" s="631"/>
      <c r="D45" s="632"/>
      <c r="F45" s="306"/>
      <c r="G45" s="306"/>
      <c r="H45" s="307"/>
      <c r="I45" s="115">
        <v>0</v>
      </c>
      <c r="J45" s="307"/>
      <c r="K45" s="308">
        <f t="shared" si="4"/>
        <v>0</v>
      </c>
    </row>
    <row r="46" spans="1:11" ht="18" customHeight="1" x14ac:dyDescent="0.4">
      <c r="A46" s="1" t="s">
        <v>140</v>
      </c>
      <c r="B46" s="630"/>
      <c r="C46" s="631"/>
      <c r="D46" s="632"/>
      <c r="F46" s="306"/>
      <c r="G46" s="306"/>
      <c r="H46" s="307"/>
      <c r="I46" s="115">
        <v>0</v>
      </c>
      <c r="J46" s="307"/>
      <c r="K46" s="308">
        <f t="shared" si="4"/>
        <v>0</v>
      </c>
    </row>
    <row r="47" spans="1:11" ht="18" customHeight="1" x14ac:dyDescent="0.4">
      <c r="A47" s="1" t="s">
        <v>141</v>
      </c>
      <c r="B47" s="630"/>
      <c r="C47" s="631"/>
      <c r="D47" s="632"/>
      <c r="F47" s="306"/>
      <c r="G47" s="306"/>
      <c r="H47" s="307"/>
      <c r="I47" s="115">
        <v>0</v>
      </c>
      <c r="J47" s="307"/>
      <c r="K47" s="308">
        <f t="shared" si="4"/>
        <v>0</v>
      </c>
    </row>
    <row r="49" spans="1:11" ht="18" customHeight="1" x14ac:dyDescent="0.4">
      <c r="A49" s="98" t="s">
        <v>142</v>
      </c>
      <c r="B49" s="95" t="s">
        <v>143</v>
      </c>
      <c r="E49" s="95" t="s">
        <v>7</v>
      </c>
      <c r="F49" s="312">
        <f t="shared" ref="F49:K49" si="5">SUM(F40:F47)</f>
        <v>9668.7000000000007</v>
      </c>
      <c r="G49" s="312">
        <f t="shared" si="5"/>
        <v>0</v>
      </c>
      <c r="H49" s="308">
        <f t="shared" si="5"/>
        <v>514548.3</v>
      </c>
      <c r="I49" s="308">
        <f t="shared" si="5"/>
        <v>319019.946</v>
      </c>
      <c r="J49" s="308">
        <f t="shared" si="5"/>
        <v>0</v>
      </c>
      <c r="K49" s="308">
        <f t="shared" si="5"/>
        <v>833568.24599999993</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808" t="s">
        <v>818</v>
      </c>
      <c r="C53" s="809"/>
      <c r="D53" s="695"/>
      <c r="F53" s="306"/>
      <c r="G53" s="306"/>
      <c r="H53" s="307">
        <v>1564587</v>
      </c>
      <c r="I53" s="115">
        <v>0</v>
      </c>
      <c r="J53" s="307">
        <v>0</v>
      </c>
      <c r="K53" s="308">
        <f t="shared" ref="K53:K62" si="6">(H53+I53)-J53</f>
        <v>1564587</v>
      </c>
    </row>
    <row r="54" spans="1:11" ht="18" customHeight="1" x14ac:dyDescent="0.4">
      <c r="A54" s="1" t="s">
        <v>93</v>
      </c>
      <c r="B54" s="555" t="s">
        <v>446</v>
      </c>
      <c r="C54" s="556"/>
      <c r="D54" s="557"/>
      <c r="F54" s="306"/>
      <c r="G54" s="306"/>
      <c r="H54" s="307">
        <v>3246898</v>
      </c>
      <c r="I54" s="115">
        <v>0</v>
      </c>
      <c r="J54" s="307">
        <v>0</v>
      </c>
      <c r="K54" s="308">
        <f t="shared" si="6"/>
        <v>3246898</v>
      </c>
    </row>
    <row r="55" spans="1:11" ht="18" customHeight="1" x14ac:dyDescent="0.4">
      <c r="A55" s="1" t="s">
        <v>94</v>
      </c>
      <c r="B55" s="655"/>
      <c r="C55" s="653"/>
      <c r="D55" s="654"/>
      <c r="F55" s="306"/>
      <c r="G55" s="306"/>
      <c r="H55" s="307"/>
      <c r="I55" s="115">
        <v>0</v>
      </c>
      <c r="J55" s="307"/>
      <c r="K55" s="308">
        <f t="shared" si="6"/>
        <v>0</v>
      </c>
    </row>
    <row r="56" spans="1:11" ht="18" customHeight="1" x14ac:dyDescent="0.4">
      <c r="A56" s="1" t="s">
        <v>95</v>
      </c>
      <c r="B56" s="655"/>
      <c r="C56" s="653"/>
      <c r="D56" s="654"/>
      <c r="F56" s="306"/>
      <c r="G56" s="306"/>
      <c r="H56" s="307"/>
      <c r="I56" s="115">
        <v>0</v>
      </c>
      <c r="J56" s="307"/>
      <c r="K56" s="308">
        <f t="shared" si="6"/>
        <v>0</v>
      </c>
    </row>
    <row r="57" spans="1:11" ht="18" customHeight="1" x14ac:dyDescent="0.4">
      <c r="A57" s="1" t="s">
        <v>96</v>
      </c>
      <c r="B57" s="655"/>
      <c r="C57" s="653"/>
      <c r="D57" s="654"/>
      <c r="F57" s="306"/>
      <c r="G57" s="306"/>
      <c r="H57" s="307"/>
      <c r="I57" s="115">
        <v>0</v>
      </c>
      <c r="J57" s="307"/>
      <c r="K57" s="308">
        <f t="shared" si="6"/>
        <v>0</v>
      </c>
    </row>
    <row r="58" spans="1:11" ht="18" customHeight="1" x14ac:dyDescent="0.4">
      <c r="A58" s="1" t="s">
        <v>97</v>
      </c>
      <c r="B58" s="400"/>
      <c r="C58" s="401"/>
      <c r="D58" s="402"/>
      <c r="F58" s="306"/>
      <c r="G58" s="306"/>
      <c r="H58" s="307"/>
      <c r="I58" s="115">
        <v>0</v>
      </c>
      <c r="J58" s="307"/>
      <c r="K58" s="308">
        <f t="shared" si="6"/>
        <v>0</v>
      </c>
    </row>
    <row r="59" spans="1:11" ht="18" customHeight="1" x14ac:dyDescent="0.4">
      <c r="A59" s="1" t="s">
        <v>98</v>
      </c>
      <c r="B59" s="655"/>
      <c r="C59" s="653"/>
      <c r="D59" s="654"/>
      <c r="F59" s="306"/>
      <c r="G59" s="306"/>
      <c r="H59" s="307"/>
      <c r="I59" s="115">
        <v>0</v>
      </c>
      <c r="J59" s="307"/>
      <c r="K59" s="308">
        <f t="shared" si="6"/>
        <v>0</v>
      </c>
    </row>
    <row r="60" spans="1:11" ht="18" customHeight="1" x14ac:dyDescent="0.4">
      <c r="A60" s="1" t="s">
        <v>99</v>
      </c>
      <c r="B60" s="483" t="s">
        <v>819</v>
      </c>
      <c r="C60" s="401"/>
      <c r="D60" s="402"/>
      <c r="F60" s="306">
        <v>0</v>
      </c>
      <c r="G60" s="306">
        <v>0</v>
      </c>
      <c r="H60" s="307">
        <v>4186611</v>
      </c>
      <c r="I60" s="115">
        <v>0</v>
      </c>
      <c r="J60" s="307">
        <v>2610635</v>
      </c>
      <c r="K60" s="308">
        <f t="shared" si="6"/>
        <v>1575976</v>
      </c>
    </row>
    <row r="61" spans="1:11" ht="18" customHeight="1" x14ac:dyDescent="0.4">
      <c r="A61" s="1" t="s">
        <v>100</v>
      </c>
      <c r="B61" s="400"/>
      <c r="C61" s="401"/>
      <c r="D61" s="402"/>
      <c r="F61" s="306"/>
      <c r="G61" s="306"/>
      <c r="H61" s="307"/>
      <c r="I61" s="115">
        <v>0</v>
      </c>
      <c r="J61" s="307"/>
      <c r="K61" s="308">
        <f t="shared" si="6"/>
        <v>0</v>
      </c>
    </row>
    <row r="62" spans="1:11" ht="18" customHeight="1" x14ac:dyDescent="0.4">
      <c r="A62" s="1" t="s">
        <v>101</v>
      </c>
      <c r="B62" s="655"/>
      <c r="C62" s="653"/>
      <c r="D62" s="654"/>
      <c r="F62" s="306"/>
      <c r="G62" s="306"/>
      <c r="H62" s="307"/>
      <c r="I62" s="115">
        <v>0</v>
      </c>
      <c r="J62" s="307"/>
      <c r="K62" s="308">
        <f t="shared" si="6"/>
        <v>0</v>
      </c>
    </row>
    <row r="63" spans="1:11" ht="18" customHeight="1" x14ac:dyDescent="0.4">
      <c r="A63" s="1"/>
      <c r="I63" s="403"/>
    </row>
    <row r="64" spans="1:11" ht="18" customHeight="1" x14ac:dyDescent="0.4">
      <c r="A64" s="1" t="s">
        <v>144</v>
      </c>
      <c r="B64" s="95" t="s">
        <v>145</v>
      </c>
      <c r="E64" s="95" t="s">
        <v>7</v>
      </c>
      <c r="F64" s="310">
        <f t="shared" ref="F64:K64" si="7">SUM(F53:F62)</f>
        <v>0</v>
      </c>
      <c r="G64" s="310">
        <f t="shared" si="7"/>
        <v>0</v>
      </c>
      <c r="H64" s="308">
        <f t="shared" si="7"/>
        <v>8998096</v>
      </c>
      <c r="I64" s="308">
        <f t="shared" si="7"/>
        <v>0</v>
      </c>
      <c r="J64" s="308">
        <f t="shared" si="7"/>
        <v>2610635</v>
      </c>
      <c r="K64" s="308">
        <f t="shared" si="7"/>
        <v>6387461</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11346.3</v>
      </c>
      <c r="G68" s="313">
        <v>0</v>
      </c>
      <c r="H68" s="307">
        <v>522426.8</v>
      </c>
      <c r="I68" s="115">
        <f t="shared" ref="I68" si="8">H68*F$114</f>
        <v>323904.61599999998</v>
      </c>
      <c r="J68" s="313">
        <v>0</v>
      </c>
      <c r="K68" s="308">
        <f>(H68+I68)-J68</f>
        <v>846331.41599999997</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11346.3</v>
      </c>
      <c r="G74" s="411">
        <f t="shared" si="9"/>
        <v>0</v>
      </c>
      <c r="H74" s="558">
        <f t="shared" si="9"/>
        <v>522426.8</v>
      </c>
      <c r="I74" s="412">
        <f t="shared" si="9"/>
        <v>323904.61599999998</v>
      </c>
      <c r="J74" s="411">
        <f t="shared" si="9"/>
        <v>0</v>
      </c>
      <c r="K74" s="308">
        <f t="shared" si="9"/>
        <v>846331.41599999997</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0</v>
      </c>
      <c r="H77" s="307">
        <v>49000</v>
      </c>
      <c r="I77" s="115">
        <v>0</v>
      </c>
      <c r="J77" s="307">
        <v>0</v>
      </c>
      <c r="K77" s="308">
        <f>(H77+I77)-J77</f>
        <v>49000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556.01</v>
      </c>
      <c r="G79" s="306">
        <v>204.4</v>
      </c>
      <c r="H79" s="307">
        <v>43950.9</v>
      </c>
      <c r="I79" s="115">
        <v>0</v>
      </c>
      <c r="J79" s="307">
        <v>0</v>
      </c>
      <c r="K79" s="308">
        <f>(H79+I79)-J79</f>
        <v>43950.9</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556.01</v>
      </c>
      <c r="G82" s="411">
        <f t="shared" si="10"/>
        <v>204.4</v>
      </c>
      <c r="H82" s="308">
        <f t="shared" si="10"/>
        <v>92950.9</v>
      </c>
      <c r="I82" s="308">
        <f t="shared" si="10"/>
        <v>0</v>
      </c>
      <c r="J82" s="308">
        <f t="shared" si="10"/>
        <v>0</v>
      </c>
      <c r="K82" s="308">
        <f t="shared" si="10"/>
        <v>92950.9</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1">H86*F$114</f>
        <v>0</v>
      </c>
      <c r="J86" s="307"/>
      <c r="K86" s="308">
        <f t="shared" ref="K86:K96" si="12">(H86+I86)-J86</f>
        <v>0</v>
      </c>
    </row>
    <row r="87" spans="1:11" ht="18" customHeight="1" x14ac:dyDescent="0.4">
      <c r="A87" s="1" t="s">
        <v>114</v>
      </c>
      <c r="B87" s="94" t="s">
        <v>14</v>
      </c>
      <c r="F87" s="306">
        <v>31.85</v>
      </c>
      <c r="G87" s="306">
        <v>0</v>
      </c>
      <c r="H87" s="307">
        <v>4349.1000000000004</v>
      </c>
      <c r="I87" s="115">
        <f t="shared" si="11"/>
        <v>2696.442</v>
      </c>
      <c r="J87" s="307">
        <v>0</v>
      </c>
      <c r="K87" s="308">
        <f t="shared" si="12"/>
        <v>7045.5420000000004</v>
      </c>
    </row>
    <row r="88" spans="1:11" ht="18" customHeight="1" x14ac:dyDescent="0.4">
      <c r="A88" s="1" t="s">
        <v>115</v>
      </c>
      <c r="B88" s="94" t="s">
        <v>116</v>
      </c>
      <c r="F88" s="311">
        <v>66670.94</v>
      </c>
      <c r="G88" s="306">
        <v>0</v>
      </c>
      <c r="H88" s="352">
        <v>6500082</v>
      </c>
      <c r="I88" s="116">
        <f t="shared" si="11"/>
        <v>4030050.84</v>
      </c>
      <c r="J88" s="352">
        <v>1358679</v>
      </c>
      <c r="K88" s="353">
        <f t="shared" si="12"/>
        <v>9171453.8399999999</v>
      </c>
    </row>
    <row r="89" spans="1:11" ht="18" customHeight="1" x14ac:dyDescent="0.4">
      <c r="A89" s="1" t="s">
        <v>117</v>
      </c>
      <c r="B89" s="94" t="s">
        <v>58</v>
      </c>
      <c r="F89" s="306"/>
      <c r="G89" s="306"/>
      <c r="H89" s="307"/>
      <c r="I89" s="115">
        <f t="shared" si="11"/>
        <v>0</v>
      </c>
      <c r="J89" s="307"/>
      <c r="K89" s="308">
        <f t="shared" si="12"/>
        <v>0</v>
      </c>
    </row>
    <row r="90" spans="1:11" ht="18" customHeight="1" x14ac:dyDescent="0.4">
      <c r="A90" s="1" t="s">
        <v>118</v>
      </c>
      <c r="B90" s="635" t="s">
        <v>59</v>
      </c>
      <c r="C90" s="636"/>
      <c r="F90" s="306"/>
      <c r="G90" s="306"/>
      <c r="H90" s="307"/>
      <c r="I90" s="115">
        <f t="shared" si="11"/>
        <v>0</v>
      </c>
      <c r="J90" s="307"/>
      <c r="K90" s="308">
        <f t="shared" si="12"/>
        <v>0</v>
      </c>
    </row>
    <row r="91" spans="1:11" ht="18" customHeight="1" x14ac:dyDescent="0.4">
      <c r="A91" s="1" t="s">
        <v>119</v>
      </c>
      <c r="B91" s="94" t="s">
        <v>60</v>
      </c>
      <c r="F91" s="306">
        <v>1522.15</v>
      </c>
      <c r="G91" s="306">
        <v>0</v>
      </c>
      <c r="H91" s="307">
        <v>48552.7</v>
      </c>
      <c r="I91" s="115">
        <f t="shared" si="11"/>
        <v>30102.673999999999</v>
      </c>
      <c r="J91" s="307">
        <v>0</v>
      </c>
      <c r="K91" s="308">
        <f t="shared" si="12"/>
        <v>78655.373999999996</v>
      </c>
    </row>
    <row r="92" spans="1:11" ht="18" customHeight="1" x14ac:dyDescent="0.4">
      <c r="A92" s="1" t="s">
        <v>120</v>
      </c>
      <c r="B92" s="94" t="s">
        <v>121</v>
      </c>
      <c r="F92" s="107"/>
      <c r="G92" s="107"/>
      <c r="H92" s="108"/>
      <c r="I92" s="115">
        <f t="shared" si="11"/>
        <v>0</v>
      </c>
      <c r="J92" s="108"/>
      <c r="K92" s="308">
        <f t="shared" si="12"/>
        <v>0</v>
      </c>
    </row>
    <row r="93" spans="1:11" ht="18" customHeight="1" x14ac:dyDescent="0.4">
      <c r="A93" s="1" t="s">
        <v>122</v>
      </c>
      <c r="B93" s="94" t="s">
        <v>123</v>
      </c>
      <c r="F93" s="306"/>
      <c r="G93" s="306"/>
      <c r="H93" s="307"/>
      <c r="I93" s="115">
        <f t="shared" si="11"/>
        <v>0</v>
      </c>
      <c r="J93" s="307"/>
      <c r="K93" s="308">
        <f t="shared" si="12"/>
        <v>0</v>
      </c>
    </row>
    <row r="94" spans="1:11" ht="18" customHeight="1" x14ac:dyDescent="0.4">
      <c r="A94" s="1" t="s">
        <v>124</v>
      </c>
      <c r="B94" s="655"/>
      <c r="C94" s="653"/>
      <c r="D94" s="654"/>
      <c r="F94" s="306"/>
      <c r="G94" s="306"/>
      <c r="H94" s="307"/>
      <c r="I94" s="115">
        <f t="shared" si="11"/>
        <v>0</v>
      </c>
      <c r="J94" s="307"/>
      <c r="K94" s="308">
        <f t="shared" si="12"/>
        <v>0</v>
      </c>
    </row>
    <row r="95" spans="1:11" ht="18" customHeight="1" x14ac:dyDescent="0.4">
      <c r="A95" s="1" t="s">
        <v>125</v>
      </c>
      <c r="B95" s="655"/>
      <c r="C95" s="653"/>
      <c r="D95" s="654"/>
      <c r="F95" s="306"/>
      <c r="G95" s="306"/>
      <c r="H95" s="307"/>
      <c r="I95" s="115">
        <f t="shared" si="11"/>
        <v>0</v>
      </c>
      <c r="J95" s="307"/>
      <c r="K95" s="308">
        <f t="shared" si="12"/>
        <v>0</v>
      </c>
    </row>
    <row r="96" spans="1:11" ht="18" customHeight="1" x14ac:dyDescent="0.4">
      <c r="A96" s="1" t="s">
        <v>126</v>
      </c>
      <c r="B96" s="655"/>
      <c r="C96" s="653"/>
      <c r="D96" s="654"/>
      <c r="F96" s="306"/>
      <c r="G96" s="306"/>
      <c r="H96" s="307"/>
      <c r="I96" s="115">
        <f t="shared" si="11"/>
        <v>0</v>
      </c>
      <c r="J96" s="307"/>
      <c r="K96" s="308">
        <f t="shared" si="12"/>
        <v>0</v>
      </c>
    </row>
    <row r="97" spans="1:11" ht="18" customHeight="1" x14ac:dyDescent="0.4">
      <c r="A97" s="1"/>
      <c r="B97" s="94"/>
    </row>
    <row r="98" spans="1:11" ht="18" customHeight="1" x14ac:dyDescent="0.4">
      <c r="A98" s="98" t="s">
        <v>150</v>
      </c>
      <c r="B98" s="95" t="s">
        <v>151</v>
      </c>
      <c r="E98" s="95" t="s">
        <v>7</v>
      </c>
      <c r="F98" s="310">
        <f t="shared" ref="F98:K98" si="13">SUM(F86:F96)</f>
        <v>68224.94</v>
      </c>
      <c r="G98" s="310">
        <f t="shared" si="13"/>
        <v>0</v>
      </c>
      <c r="H98" s="559">
        <f t="shared" si="13"/>
        <v>6552983.7999999998</v>
      </c>
      <c r="I98" s="559">
        <f t="shared" si="13"/>
        <v>4062849.9559999998</v>
      </c>
      <c r="J98" s="559">
        <f t="shared" si="13"/>
        <v>1358679</v>
      </c>
      <c r="K98" s="559">
        <f t="shared" si="13"/>
        <v>9257154.7559999991</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11">
        <v>2170</v>
      </c>
      <c r="G102" s="311">
        <v>0</v>
      </c>
      <c r="H102" s="352">
        <v>87123.4</v>
      </c>
      <c r="I102" s="116">
        <f>H102*F$114</f>
        <v>54016.507999999994</v>
      </c>
      <c r="J102" s="352">
        <v>0</v>
      </c>
      <c r="K102" s="353">
        <f>(H102+I102)-J102</f>
        <v>141139.908</v>
      </c>
    </row>
    <row r="103" spans="1:11" ht="18" customHeight="1" x14ac:dyDescent="0.4">
      <c r="A103" s="1" t="s">
        <v>132</v>
      </c>
      <c r="B103" s="635" t="s">
        <v>62</v>
      </c>
      <c r="C103" s="635"/>
      <c r="F103" s="311">
        <v>0</v>
      </c>
      <c r="G103" s="311">
        <v>0</v>
      </c>
      <c r="H103" s="352">
        <v>3085.6</v>
      </c>
      <c r="I103" s="116">
        <f>H103*F$114</f>
        <v>1913.0719999999999</v>
      </c>
      <c r="J103" s="352">
        <v>0</v>
      </c>
      <c r="K103" s="353">
        <f>(H103+I103)-J103</f>
        <v>4998.6719999999996</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2170</v>
      </c>
      <c r="G108" s="310">
        <f t="shared" si="14"/>
        <v>0</v>
      </c>
      <c r="H108" s="308">
        <f t="shared" si="14"/>
        <v>90209</v>
      </c>
      <c r="I108" s="308">
        <f t="shared" si="14"/>
        <v>55929.579999999994</v>
      </c>
      <c r="J108" s="308">
        <f t="shared" si="14"/>
        <v>0</v>
      </c>
      <c r="K108" s="308">
        <f t="shared" si="14"/>
        <v>146138.57999999999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3917727</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425">
        <v>0.62</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259779751</v>
      </c>
    </row>
    <row r="118" spans="1:6" ht="18" customHeight="1" x14ac:dyDescent="0.4">
      <c r="A118" s="1" t="s">
        <v>173</v>
      </c>
      <c r="B118" t="s">
        <v>18</v>
      </c>
      <c r="F118" s="307">
        <v>26482411</v>
      </c>
    </row>
    <row r="119" spans="1:6" ht="18" customHeight="1" x14ac:dyDescent="0.4">
      <c r="A119" s="1" t="s">
        <v>174</v>
      </c>
      <c r="B119" s="95" t="s">
        <v>19</v>
      </c>
      <c r="F119" s="308">
        <f>SUM(F117:F118)</f>
        <v>286262162</v>
      </c>
    </row>
    <row r="120" spans="1:6" ht="18" customHeight="1" x14ac:dyDescent="0.4">
      <c r="A120" s="1"/>
      <c r="B120" s="95"/>
    </row>
    <row r="121" spans="1:6" ht="18" customHeight="1" x14ac:dyDescent="0.4">
      <c r="A121" s="1" t="s">
        <v>167</v>
      </c>
      <c r="B121" s="95" t="s">
        <v>36</v>
      </c>
      <c r="F121" s="307">
        <v>272962267</v>
      </c>
    </row>
    <row r="122" spans="1:6" ht="18" customHeight="1" x14ac:dyDescent="0.4">
      <c r="A122" s="1"/>
    </row>
    <row r="123" spans="1:6" ht="18" customHeight="1" x14ac:dyDescent="0.4">
      <c r="A123" s="1" t="s">
        <v>175</v>
      </c>
      <c r="B123" s="95" t="s">
        <v>20</v>
      </c>
      <c r="F123" s="307">
        <v>13299895</v>
      </c>
    </row>
    <row r="124" spans="1:6" ht="18" customHeight="1" x14ac:dyDescent="0.4">
      <c r="A124" s="1"/>
    </row>
    <row r="125" spans="1:6" ht="18" customHeight="1" x14ac:dyDescent="0.4">
      <c r="A125" s="1" t="s">
        <v>176</v>
      </c>
      <c r="B125" s="95" t="s">
        <v>21</v>
      </c>
      <c r="F125" s="307">
        <v>925506</v>
      </c>
    </row>
    <row r="126" spans="1:6" ht="18" customHeight="1" x14ac:dyDescent="0.4">
      <c r="A126" s="1"/>
    </row>
    <row r="127" spans="1:6" ht="18" customHeight="1" x14ac:dyDescent="0.4">
      <c r="A127" s="1" t="s">
        <v>177</v>
      </c>
      <c r="B127" s="95" t="s">
        <v>22</v>
      </c>
      <c r="F127" s="307">
        <v>14225401</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v>2203.9499999999998</v>
      </c>
      <c r="G131" s="306">
        <v>6241.2</v>
      </c>
      <c r="H131" s="307">
        <v>125162.8</v>
      </c>
      <c r="I131" s="115">
        <f>H131*F$114</f>
        <v>77600.936000000002</v>
      </c>
      <c r="J131" s="307">
        <v>38745</v>
      </c>
      <c r="K131" s="308">
        <f>(H131+I131)-J131</f>
        <v>164018.736</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5">SUM(F131:F135)</f>
        <v>2203.9499999999998</v>
      </c>
      <c r="G137" s="310">
        <f t="shared" si="15"/>
        <v>6241.2</v>
      </c>
      <c r="H137" s="308">
        <f t="shared" si="15"/>
        <v>125162.8</v>
      </c>
      <c r="I137" s="308">
        <f t="shared" si="15"/>
        <v>77600.936000000002</v>
      </c>
      <c r="J137" s="308">
        <f t="shared" si="15"/>
        <v>38745</v>
      </c>
      <c r="K137" s="308">
        <f t="shared" si="15"/>
        <v>164018.736</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14902.999999999998</v>
      </c>
      <c r="G141" s="109">
        <f t="shared" si="16"/>
        <v>198051</v>
      </c>
      <c r="H141" s="106">
        <f t="shared" si="16"/>
        <v>1219711.5</v>
      </c>
      <c r="I141" s="106">
        <f t="shared" si="16"/>
        <v>756221.12999999989</v>
      </c>
      <c r="J141" s="106">
        <f t="shared" si="16"/>
        <v>303839.2</v>
      </c>
      <c r="K141" s="106">
        <f t="shared" si="16"/>
        <v>1672093.43</v>
      </c>
    </row>
    <row r="142" spans="1:11" ht="18" customHeight="1" x14ac:dyDescent="0.4">
      <c r="A142" s="1" t="s">
        <v>142</v>
      </c>
      <c r="B142" s="95" t="s">
        <v>65</v>
      </c>
      <c r="F142" s="109">
        <f t="shared" ref="F142:K142" si="17">F49</f>
        <v>9668.7000000000007</v>
      </c>
      <c r="G142" s="109">
        <f t="shared" si="17"/>
        <v>0</v>
      </c>
      <c r="H142" s="106">
        <f t="shared" si="17"/>
        <v>514548.3</v>
      </c>
      <c r="I142" s="106">
        <f t="shared" si="17"/>
        <v>319019.946</v>
      </c>
      <c r="J142" s="106">
        <f t="shared" si="17"/>
        <v>0</v>
      </c>
      <c r="K142" s="106">
        <f t="shared" si="17"/>
        <v>833568.24599999993</v>
      </c>
    </row>
    <row r="143" spans="1:11" ht="18" customHeight="1" x14ac:dyDescent="0.4">
      <c r="A143" s="1" t="s">
        <v>144</v>
      </c>
      <c r="B143" s="95" t="s">
        <v>66</v>
      </c>
      <c r="F143" s="109">
        <f t="shared" ref="F143:K143" si="18">F64</f>
        <v>0</v>
      </c>
      <c r="G143" s="109">
        <f t="shared" si="18"/>
        <v>0</v>
      </c>
      <c r="H143" s="106">
        <f t="shared" si="18"/>
        <v>8998096</v>
      </c>
      <c r="I143" s="106">
        <f t="shared" si="18"/>
        <v>0</v>
      </c>
      <c r="J143" s="106">
        <f t="shared" si="18"/>
        <v>2610635</v>
      </c>
      <c r="K143" s="106">
        <f t="shared" si="18"/>
        <v>6387461</v>
      </c>
    </row>
    <row r="144" spans="1:11" ht="18" customHeight="1" x14ac:dyDescent="0.4">
      <c r="A144" s="1" t="s">
        <v>146</v>
      </c>
      <c r="B144" s="95" t="s">
        <v>67</v>
      </c>
      <c r="F144" s="109">
        <f t="shared" ref="F144:K144" si="19">F74</f>
        <v>11346.3</v>
      </c>
      <c r="G144" s="109">
        <f t="shared" si="19"/>
        <v>0</v>
      </c>
      <c r="H144" s="106">
        <f t="shared" si="19"/>
        <v>522426.8</v>
      </c>
      <c r="I144" s="106">
        <f t="shared" si="19"/>
        <v>323904.61599999998</v>
      </c>
      <c r="J144" s="106">
        <f t="shared" si="19"/>
        <v>0</v>
      </c>
      <c r="K144" s="106">
        <f t="shared" si="19"/>
        <v>846331.41599999997</v>
      </c>
    </row>
    <row r="145" spans="1:11" ht="18" customHeight="1" x14ac:dyDescent="0.4">
      <c r="A145" s="1" t="s">
        <v>148</v>
      </c>
      <c r="B145" s="95" t="s">
        <v>68</v>
      </c>
      <c r="F145" s="213">
        <f t="shared" ref="F145:K145" si="20">F82</f>
        <v>556.01</v>
      </c>
      <c r="G145" s="109">
        <f t="shared" si="20"/>
        <v>204.4</v>
      </c>
      <c r="H145" s="106">
        <f t="shared" si="20"/>
        <v>92950.9</v>
      </c>
      <c r="I145" s="106">
        <f t="shared" si="20"/>
        <v>0</v>
      </c>
      <c r="J145" s="106">
        <f t="shared" si="20"/>
        <v>0</v>
      </c>
      <c r="K145" s="106">
        <f t="shared" si="20"/>
        <v>92950.9</v>
      </c>
    </row>
    <row r="146" spans="1:11" ht="18" customHeight="1" x14ac:dyDescent="0.4">
      <c r="A146" s="1" t="s">
        <v>150</v>
      </c>
      <c r="B146" s="95" t="s">
        <v>69</v>
      </c>
      <c r="F146" s="213">
        <f t="shared" ref="F146:K146" si="21">F98</f>
        <v>68224.94</v>
      </c>
      <c r="G146" s="213">
        <f t="shared" si="21"/>
        <v>0</v>
      </c>
      <c r="H146" s="106">
        <f t="shared" si="21"/>
        <v>6552983.7999999998</v>
      </c>
      <c r="I146" s="106">
        <f t="shared" si="21"/>
        <v>4062849.9559999998</v>
      </c>
      <c r="J146" s="106">
        <f t="shared" si="21"/>
        <v>1358679</v>
      </c>
      <c r="K146" s="106">
        <f t="shared" si="21"/>
        <v>9257154.7559999991</v>
      </c>
    </row>
    <row r="147" spans="1:11" ht="18" customHeight="1" x14ac:dyDescent="0.4">
      <c r="A147" s="1" t="s">
        <v>153</v>
      </c>
      <c r="B147" s="95" t="s">
        <v>61</v>
      </c>
      <c r="F147" s="310">
        <f t="shared" ref="F147:K147" si="22">F108</f>
        <v>2170</v>
      </c>
      <c r="G147" s="310">
        <f t="shared" si="22"/>
        <v>0</v>
      </c>
      <c r="H147" s="308">
        <f t="shared" si="22"/>
        <v>90209</v>
      </c>
      <c r="I147" s="308">
        <f t="shared" si="22"/>
        <v>55929.579999999994</v>
      </c>
      <c r="J147" s="308">
        <f t="shared" si="22"/>
        <v>0</v>
      </c>
      <c r="K147" s="308">
        <f t="shared" si="22"/>
        <v>146138.57999999999</v>
      </c>
    </row>
    <row r="148" spans="1:11" ht="18" customHeight="1" x14ac:dyDescent="0.4">
      <c r="A148" s="1" t="s">
        <v>155</v>
      </c>
      <c r="B148" s="95" t="s">
        <v>70</v>
      </c>
      <c r="F148" s="110" t="s">
        <v>73</v>
      </c>
      <c r="G148" s="110" t="s">
        <v>73</v>
      </c>
      <c r="H148" s="111" t="s">
        <v>73</v>
      </c>
      <c r="I148" s="111" t="s">
        <v>73</v>
      </c>
      <c r="J148" s="111" t="s">
        <v>73</v>
      </c>
      <c r="K148" s="106">
        <f>F111</f>
        <v>3917727</v>
      </c>
    </row>
    <row r="149" spans="1:11" ht="18" customHeight="1" x14ac:dyDescent="0.4">
      <c r="A149" s="1" t="s">
        <v>163</v>
      </c>
      <c r="B149" s="95" t="s">
        <v>71</v>
      </c>
      <c r="F149" s="310">
        <f t="shared" ref="F149:K149" si="23">F137</f>
        <v>2203.9499999999998</v>
      </c>
      <c r="G149" s="310">
        <f t="shared" si="23"/>
        <v>6241.2</v>
      </c>
      <c r="H149" s="308">
        <f t="shared" si="23"/>
        <v>125162.8</v>
      </c>
      <c r="I149" s="308">
        <f t="shared" si="23"/>
        <v>77600.936000000002</v>
      </c>
      <c r="J149" s="308">
        <f t="shared" si="23"/>
        <v>38745</v>
      </c>
      <c r="K149" s="308">
        <f t="shared" si="23"/>
        <v>164018.736</v>
      </c>
    </row>
    <row r="150" spans="1:11" ht="18" customHeight="1" x14ac:dyDescent="0.4">
      <c r="A150" s="1" t="s">
        <v>185</v>
      </c>
      <c r="B150" s="95" t="s">
        <v>186</v>
      </c>
      <c r="F150" s="110" t="s">
        <v>73</v>
      </c>
      <c r="G150" s="110" t="s">
        <v>73</v>
      </c>
      <c r="H150" s="308">
        <f>H18</f>
        <v>5996991.9100000001</v>
      </c>
      <c r="I150" s="308">
        <f>I18</f>
        <v>0</v>
      </c>
      <c r="J150" s="308">
        <f>J18</f>
        <v>4970127.91</v>
      </c>
      <c r="K150" s="308">
        <f>K18</f>
        <v>1026864</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109072.90000000001</v>
      </c>
      <c r="G152" s="114">
        <f t="shared" si="24"/>
        <v>204496.6</v>
      </c>
      <c r="H152" s="427">
        <f t="shared" si="24"/>
        <v>24113081.010000002</v>
      </c>
      <c r="I152" s="427">
        <f t="shared" si="24"/>
        <v>5595526.1639999999</v>
      </c>
      <c r="J152" s="427">
        <f t="shared" si="24"/>
        <v>9282026.1099999994</v>
      </c>
      <c r="K152" s="427">
        <f t="shared" si="24"/>
        <v>24344308.063999996</v>
      </c>
    </row>
    <row r="154" spans="1:11" ht="18" customHeight="1" x14ac:dyDescent="0.4">
      <c r="A154" s="98" t="s">
        <v>168</v>
      </c>
      <c r="B154" s="95" t="s">
        <v>28</v>
      </c>
      <c r="F154" s="318">
        <f>K152/F121</f>
        <v>8.9185616501345932E-2</v>
      </c>
    </row>
    <row r="155" spans="1:11" ht="18" customHeight="1" x14ac:dyDescent="0.4">
      <c r="A155" s="98" t="s">
        <v>169</v>
      </c>
      <c r="B155" s="95" t="s">
        <v>72</v>
      </c>
      <c r="F155" s="318">
        <f>K152/F127</f>
        <v>1.711326665870438</v>
      </c>
      <c r="G155" s="95"/>
    </row>
    <row r="156" spans="1:11" ht="18" customHeight="1" x14ac:dyDescent="0.4">
      <c r="G156" s="95"/>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xr:uid="{A3946F97-B0E9-4964-91BB-34E07F8240D0}"/>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dimension ref="A1:K156"/>
  <sheetViews>
    <sheetView showGridLines="0" topLeftCell="A132" zoomScale="85" zoomScaleNormal="85" zoomScaleSheetLayoutView="100" workbookViewId="0">
      <selection activeCell="H143" sqref="H143"/>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820</v>
      </c>
      <c r="D5" s="666"/>
      <c r="E5" s="666"/>
      <c r="F5" s="666"/>
      <c r="G5" s="667"/>
    </row>
    <row r="6" spans="1:11" ht="18" customHeight="1" x14ac:dyDescent="0.4">
      <c r="B6" s="1" t="s">
        <v>3</v>
      </c>
      <c r="C6" s="668">
        <v>210051</v>
      </c>
      <c r="D6" s="669"/>
      <c r="E6" s="669"/>
      <c r="F6" s="669"/>
      <c r="G6" s="670"/>
    </row>
    <row r="7" spans="1:11" ht="18" customHeight="1" x14ac:dyDescent="0.4">
      <c r="B7" s="1" t="s">
        <v>4</v>
      </c>
      <c r="C7" s="689">
        <v>1577</v>
      </c>
      <c r="D7" s="690"/>
      <c r="E7" s="690"/>
      <c r="F7" s="690"/>
      <c r="G7" s="691"/>
    </row>
    <row r="9" spans="1:11" ht="18" customHeight="1" x14ac:dyDescent="0.4">
      <c r="B9" s="1" t="s">
        <v>1</v>
      </c>
      <c r="C9" s="663" t="s">
        <v>821</v>
      </c>
      <c r="D9" s="666"/>
      <c r="E9" s="666"/>
      <c r="F9" s="666"/>
      <c r="G9" s="667"/>
    </row>
    <row r="10" spans="1:11" ht="18" customHeight="1" x14ac:dyDescent="0.4">
      <c r="B10" s="1" t="s">
        <v>2</v>
      </c>
      <c r="C10" s="660" t="s">
        <v>822</v>
      </c>
      <c r="D10" s="661"/>
      <c r="E10" s="661"/>
      <c r="F10" s="661"/>
      <c r="G10" s="662"/>
    </row>
    <row r="11" spans="1:11" ht="18" customHeight="1" x14ac:dyDescent="0.4">
      <c r="B11" s="1" t="s">
        <v>32</v>
      </c>
      <c r="C11" s="682" t="s">
        <v>823</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4783292.8600000003</v>
      </c>
      <c r="I18" s="115">
        <v>0</v>
      </c>
      <c r="J18" s="307">
        <v>3964250.36</v>
      </c>
      <c r="K18" s="308">
        <f>(H18+I18)-J18</f>
        <v>819042.50000000047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843</v>
      </c>
      <c r="G21" s="306">
        <v>43454</v>
      </c>
      <c r="H21" s="307">
        <v>43533.68</v>
      </c>
      <c r="I21" s="115">
        <f t="shared" ref="I21:I34" si="0">H21*F$114</f>
        <v>28323.012207999996</v>
      </c>
      <c r="J21" s="307">
        <v>23215</v>
      </c>
      <c r="K21" s="308">
        <f t="shared" ref="K21:K34" si="1">(H21+I21)-J21</f>
        <v>48641.692207999993</v>
      </c>
    </row>
    <row r="22" spans="1:11" ht="18" customHeight="1" x14ac:dyDescent="0.4">
      <c r="A22" s="1" t="s">
        <v>76</v>
      </c>
      <c r="B22" t="s">
        <v>6</v>
      </c>
      <c r="F22" s="306">
        <v>182</v>
      </c>
      <c r="G22" s="306">
        <v>888</v>
      </c>
      <c r="H22" s="307">
        <v>23215</v>
      </c>
      <c r="I22" s="115">
        <f t="shared" si="0"/>
        <v>15103.678999999998</v>
      </c>
      <c r="J22" s="307"/>
      <c r="K22" s="308">
        <f t="shared" si="1"/>
        <v>38318.678999999996</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v>1843</v>
      </c>
      <c r="G25" s="306">
        <v>1645</v>
      </c>
      <c r="H25" s="307">
        <v>568869</v>
      </c>
      <c r="I25" s="115">
        <f t="shared" si="0"/>
        <v>370106.17139999999</v>
      </c>
      <c r="J25" s="307">
        <v>561114</v>
      </c>
      <c r="K25" s="308">
        <f t="shared" si="1"/>
        <v>377861.17139999999</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v>5200</v>
      </c>
      <c r="G28" s="306">
        <v>7716</v>
      </c>
      <c r="H28" s="307">
        <v>218778</v>
      </c>
      <c r="I28" s="115">
        <f t="shared" si="0"/>
        <v>142336.96679999999</v>
      </c>
      <c r="J28" s="307">
        <v>218778</v>
      </c>
      <c r="K28" s="308">
        <f t="shared" si="1"/>
        <v>142336.96679999999</v>
      </c>
    </row>
    <row r="29" spans="1:11" ht="18" customHeight="1" x14ac:dyDescent="0.4">
      <c r="A29" s="1" t="s">
        <v>83</v>
      </c>
      <c r="B29" t="s">
        <v>48</v>
      </c>
      <c r="F29" s="306"/>
      <c r="G29" s="306"/>
      <c r="H29" s="307"/>
      <c r="I29" s="115">
        <f t="shared" si="0"/>
        <v>0</v>
      </c>
      <c r="J29" s="307"/>
      <c r="K29" s="308">
        <f t="shared" si="1"/>
        <v>0</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8068</v>
      </c>
      <c r="G36" s="310">
        <f t="shared" si="2"/>
        <v>53703</v>
      </c>
      <c r="H36" s="310">
        <f t="shared" si="2"/>
        <v>854395.67999999993</v>
      </c>
      <c r="I36" s="308">
        <f t="shared" si="2"/>
        <v>555869.82940799999</v>
      </c>
      <c r="J36" s="308">
        <f t="shared" si="2"/>
        <v>803107</v>
      </c>
      <c r="K36" s="308">
        <f t="shared" si="2"/>
        <v>607158.50940799993</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v>3530</v>
      </c>
      <c r="G41" s="306">
        <v>272</v>
      </c>
      <c r="H41" s="307">
        <v>169440</v>
      </c>
      <c r="I41" s="115">
        <v>0</v>
      </c>
      <c r="J41" s="307"/>
      <c r="K41" s="308">
        <f t="shared" si="3"/>
        <v>169440</v>
      </c>
    </row>
    <row r="42" spans="1:11" ht="18" customHeight="1" x14ac:dyDescent="0.4">
      <c r="A42" s="1" t="s">
        <v>89</v>
      </c>
      <c r="B42" s="94" t="s">
        <v>11</v>
      </c>
      <c r="F42" s="306">
        <v>6816</v>
      </c>
      <c r="G42" s="306">
        <v>764</v>
      </c>
      <c r="H42" s="307">
        <v>382044</v>
      </c>
      <c r="I42" s="115">
        <v>0</v>
      </c>
      <c r="J42" s="307"/>
      <c r="K42" s="308">
        <f t="shared" si="3"/>
        <v>382044</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10346</v>
      </c>
      <c r="G49" s="312">
        <f t="shared" si="4"/>
        <v>1036</v>
      </c>
      <c r="H49" s="308">
        <f t="shared" si="4"/>
        <v>551484</v>
      </c>
      <c r="I49" s="308">
        <f t="shared" si="4"/>
        <v>0</v>
      </c>
      <c r="J49" s="308">
        <f t="shared" si="4"/>
        <v>0</v>
      </c>
      <c r="K49" s="308">
        <f t="shared" si="4"/>
        <v>551484</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824</v>
      </c>
      <c r="C53" s="659"/>
      <c r="D53" s="654"/>
      <c r="F53" s="306">
        <v>3650</v>
      </c>
      <c r="G53" s="306">
        <v>2397</v>
      </c>
      <c r="H53" s="307">
        <v>209597</v>
      </c>
      <c r="I53" s="115">
        <v>0</v>
      </c>
      <c r="J53" s="307"/>
      <c r="K53" s="308">
        <f t="shared" ref="K53:K62" si="5">(H53+I53)-J53</f>
        <v>209597</v>
      </c>
    </row>
    <row r="54" spans="1:11" ht="18" customHeight="1" x14ac:dyDescent="0.4">
      <c r="A54" s="1" t="s">
        <v>93</v>
      </c>
      <c r="B54" s="400" t="s">
        <v>825</v>
      </c>
      <c r="C54" s="401"/>
      <c r="D54" s="402"/>
      <c r="F54" s="306"/>
      <c r="G54" s="306"/>
      <c r="H54" s="307">
        <v>5135920</v>
      </c>
      <c r="I54" s="115">
        <v>0</v>
      </c>
      <c r="J54" s="307"/>
      <c r="K54" s="308">
        <f t="shared" si="5"/>
        <v>5135920</v>
      </c>
    </row>
    <row r="55" spans="1:11" ht="18" customHeight="1" x14ac:dyDescent="0.4">
      <c r="A55" s="1" t="s">
        <v>94</v>
      </c>
      <c r="B55" s="655" t="s">
        <v>826</v>
      </c>
      <c r="C55" s="653"/>
      <c r="D55" s="654"/>
      <c r="F55" s="306"/>
      <c r="G55" s="306"/>
      <c r="H55" s="307">
        <v>28750</v>
      </c>
      <c r="I55" s="115">
        <v>0</v>
      </c>
      <c r="J55" s="307"/>
      <c r="K55" s="308">
        <f t="shared" si="5"/>
        <v>28750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3650</v>
      </c>
      <c r="G64" s="310">
        <f t="shared" si="6"/>
        <v>2397</v>
      </c>
      <c r="H64" s="308">
        <f t="shared" si="6"/>
        <v>5374267</v>
      </c>
      <c r="I64" s="308">
        <f t="shared" si="6"/>
        <v>0</v>
      </c>
      <c r="J64" s="308">
        <f t="shared" si="6"/>
        <v>0</v>
      </c>
      <c r="K64" s="308">
        <f t="shared" si="6"/>
        <v>5374267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266041</v>
      </c>
      <c r="I77" s="115">
        <v>0</v>
      </c>
      <c r="J77" s="307"/>
      <c r="K77" s="308">
        <f>(H77+I77)-J77</f>
        <v>266041</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716</v>
      </c>
      <c r="G79" s="306">
        <v>7396</v>
      </c>
      <c r="H79" s="307">
        <v>369856</v>
      </c>
      <c r="I79" s="115">
        <v>0</v>
      </c>
      <c r="J79" s="307"/>
      <c r="K79" s="308">
        <f>(H79+I79)-J79</f>
        <v>369856</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716</v>
      </c>
      <c r="G82" s="411">
        <f t="shared" si="8"/>
        <v>7396</v>
      </c>
      <c r="H82" s="308">
        <f t="shared" si="8"/>
        <v>635897</v>
      </c>
      <c r="I82" s="308">
        <f t="shared" si="8"/>
        <v>0</v>
      </c>
      <c r="J82" s="308">
        <f t="shared" si="8"/>
        <v>0</v>
      </c>
      <c r="K82" s="308">
        <f t="shared" si="8"/>
        <v>635897</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v>62</v>
      </c>
      <c r="G87" s="306">
        <v>609</v>
      </c>
      <c r="H87" s="307">
        <v>31222</v>
      </c>
      <c r="I87" s="115">
        <f t="shared" si="9"/>
        <v>20313.033199999998</v>
      </c>
      <c r="J87" s="307"/>
      <c r="K87" s="308">
        <f t="shared" si="10"/>
        <v>51535.033199999998</v>
      </c>
    </row>
    <row r="88" spans="1:11" ht="18" customHeight="1" x14ac:dyDescent="0.4">
      <c r="A88" s="1" t="s">
        <v>115</v>
      </c>
      <c r="B88" s="94" t="s">
        <v>116</v>
      </c>
      <c r="F88" s="306">
        <v>5674</v>
      </c>
      <c r="G88" s="306">
        <v>1885</v>
      </c>
      <c r="H88" s="307">
        <v>240290</v>
      </c>
      <c r="I88" s="115">
        <f t="shared" si="9"/>
        <v>156332.674</v>
      </c>
      <c r="J88" s="307"/>
      <c r="K88" s="308">
        <f t="shared" si="10"/>
        <v>396622.674</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c r="G91" s="306"/>
      <c r="H91" s="307"/>
      <c r="I91" s="115">
        <f t="shared" si="9"/>
        <v>0</v>
      </c>
      <c r="J91" s="307"/>
      <c r="K91" s="308">
        <f t="shared" si="10"/>
        <v>0</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5736</v>
      </c>
      <c r="G98" s="310">
        <f t="shared" si="11"/>
        <v>2494</v>
      </c>
      <c r="H98" s="310">
        <f t="shared" si="11"/>
        <v>271512</v>
      </c>
      <c r="I98" s="310">
        <f t="shared" si="11"/>
        <v>176645.7072</v>
      </c>
      <c r="J98" s="310">
        <f t="shared" si="11"/>
        <v>0</v>
      </c>
      <c r="K98" s="310">
        <f t="shared" si="11"/>
        <v>448157.7072</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1540</v>
      </c>
      <c r="G102" s="306"/>
      <c r="H102" s="307">
        <v>67080</v>
      </c>
      <c r="I102" s="115">
        <f>H102*F$114</f>
        <v>43642.248</v>
      </c>
      <c r="J102" s="307"/>
      <c r="K102" s="308">
        <f>(H102+I102)-J102</f>
        <v>110722.24799999999</v>
      </c>
    </row>
    <row r="103" spans="1:11" ht="18" customHeight="1" x14ac:dyDescent="0.4">
      <c r="A103" s="1" t="s">
        <v>132</v>
      </c>
      <c r="B103" s="635" t="s">
        <v>62</v>
      </c>
      <c r="C103" s="635"/>
      <c r="F103" s="306"/>
      <c r="G103" s="306"/>
      <c r="H103" s="307">
        <v>20540</v>
      </c>
      <c r="I103" s="115">
        <f>H103*F$114</f>
        <v>13363.323999999999</v>
      </c>
      <c r="J103" s="307"/>
      <c r="K103" s="308">
        <f>(H103+I103)-J103</f>
        <v>33903.324000000001</v>
      </c>
    </row>
    <row r="104" spans="1:11" ht="18" customHeight="1" x14ac:dyDescent="0.4">
      <c r="A104" s="1" t="s">
        <v>128</v>
      </c>
      <c r="B104" s="655" t="s">
        <v>827</v>
      </c>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1540</v>
      </c>
      <c r="G108" s="310">
        <f t="shared" si="12"/>
        <v>0</v>
      </c>
      <c r="H108" s="308">
        <f t="shared" si="12"/>
        <v>87620</v>
      </c>
      <c r="I108" s="308">
        <f t="shared" si="12"/>
        <v>57005.572</v>
      </c>
      <c r="J108" s="308">
        <f t="shared" si="12"/>
        <v>0</v>
      </c>
      <c r="K108" s="308">
        <f t="shared" si="12"/>
        <v>144625.57199999999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9528010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0.65059999999999996</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211390545</v>
      </c>
    </row>
    <row r="118" spans="1:6" ht="18" customHeight="1" x14ac:dyDescent="0.4">
      <c r="A118" s="1" t="s">
        <v>173</v>
      </c>
      <c r="B118" t="s">
        <v>18</v>
      </c>
      <c r="F118" s="307">
        <v>18369657</v>
      </c>
    </row>
    <row r="119" spans="1:6" ht="18" customHeight="1" x14ac:dyDescent="0.4">
      <c r="A119" s="1" t="s">
        <v>174</v>
      </c>
      <c r="B119" s="95" t="s">
        <v>19</v>
      </c>
      <c r="F119" s="308">
        <f>SUM(F117:F118)</f>
        <v>229760202</v>
      </c>
    </row>
    <row r="120" spans="1:6" ht="18" customHeight="1" x14ac:dyDescent="0.4">
      <c r="A120" s="1"/>
      <c r="B120" s="95"/>
    </row>
    <row r="121" spans="1:6" ht="18" customHeight="1" x14ac:dyDescent="0.4">
      <c r="A121" s="1" t="s">
        <v>167</v>
      </c>
      <c r="B121" s="95" t="s">
        <v>36</v>
      </c>
      <c r="F121" s="307">
        <v>215413138</v>
      </c>
    </row>
    <row r="122" spans="1:6" ht="18" customHeight="1" x14ac:dyDescent="0.4">
      <c r="A122" s="1"/>
    </row>
    <row r="123" spans="1:6" ht="18" customHeight="1" x14ac:dyDescent="0.4">
      <c r="A123" s="1" t="s">
        <v>175</v>
      </c>
      <c r="B123" s="95" t="s">
        <v>20</v>
      </c>
      <c r="F123" s="307">
        <v>14347064</v>
      </c>
    </row>
    <row r="124" spans="1:6" ht="18" customHeight="1" x14ac:dyDescent="0.4">
      <c r="A124" s="1"/>
    </row>
    <row r="125" spans="1:6" ht="18" customHeight="1" x14ac:dyDescent="0.4">
      <c r="A125" s="1" t="s">
        <v>176</v>
      </c>
      <c r="B125" s="95" t="s">
        <v>21</v>
      </c>
      <c r="F125" s="307">
        <v>-576843</v>
      </c>
    </row>
    <row r="126" spans="1:6" ht="18" customHeight="1" x14ac:dyDescent="0.4">
      <c r="A126" s="1"/>
    </row>
    <row r="127" spans="1:6" ht="18" customHeight="1" x14ac:dyDescent="0.4">
      <c r="A127" s="1" t="s">
        <v>177</v>
      </c>
      <c r="B127" s="95" t="s">
        <v>22</v>
      </c>
      <c r="F127" s="307">
        <v>13770221</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8068</v>
      </c>
      <c r="G141" s="109">
        <f t="shared" si="14"/>
        <v>53703</v>
      </c>
      <c r="H141" s="109">
        <f t="shared" si="14"/>
        <v>854395.67999999993</v>
      </c>
      <c r="I141" s="109">
        <f t="shared" si="14"/>
        <v>555869.82940799999</v>
      </c>
      <c r="J141" s="109">
        <f t="shared" si="14"/>
        <v>803107</v>
      </c>
      <c r="K141" s="109">
        <f t="shared" si="14"/>
        <v>607158.50940799993</v>
      </c>
    </row>
    <row r="142" spans="1:11" ht="18" customHeight="1" x14ac:dyDescent="0.4">
      <c r="A142" s="1" t="s">
        <v>142</v>
      </c>
      <c r="B142" s="95" t="s">
        <v>65</v>
      </c>
      <c r="F142" s="109">
        <f t="shared" ref="F142:K142" si="15">F49</f>
        <v>10346</v>
      </c>
      <c r="G142" s="109">
        <f t="shared" si="15"/>
        <v>1036</v>
      </c>
      <c r="H142" s="109">
        <f t="shared" si="15"/>
        <v>551484</v>
      </c>
      <c r="I142" s="109">
        <f t="shared" si="15"/>
        <v>0</v>
      </c>
      <c r="J142" s="109">
        <f t="shared" si="15"/>
        <v>0</v>
      </c>
      <c r="K142" s="109">
        <f t="shared" si="15"/>
        <v>551484</v>
      </c>
    </row>
    <row r="143" spans="1:11" ht="18" customHeight="1" x14ac:dyDescent="0.4">
      <c r="A143" s="1" t="s">
        <v>144</v>
      </c>
      <c r="B143" s="95" t="s">
        <v>66</v>
      </c>
      <c r="F143" s="109">
        <f t="shared" ref="F143:J143" si="16">F64</f>
        <v>3650</v>
      </c>
      <c r="G143" s="109">
        <f t="shared" si="16"/>
        <v>2397</v>
      </c>
      <c r="H143" s="109">
        <f>H64</f>
        <v>5374267</v>
      </c>
      <c r="I143" s="109">
        <f t="shared" si="16"/>
        <v>0</v>
      </c>
      <c r="J143" s="109">
        <f t="shared" si="16"/>
        <v>0</v>
      </c>
      <c r="K143" s="109">
        <f>K64</f>
        <v>5374267</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716</v>
      </c>
      <c r="G145" s="109">
        <f t="shared" si="18"/>
        <v>7396</v>
      </c>
      <c r="H145" s="109">
        <f t="shared" si="18"/>
        <v>635897</v>
      </c>
      <c r="I145" s="109">
        <f t="shared" si="18"/>
        <v>0</v>
      </c>
      <c r="J145" s="109">
        <f t="shared" si="18"/>
        <v>0</v>
      </c>
      <c r="K145" s="109">
        <f t="shared" si="18"/>
        <v>635897</v>
      </c>
    </row>
    <row r="146" spans="1:11" ht="18" customHeight="1" x14ac:dyDescent="0.4">
      <c r="A146" s="1" t="s">
        <v>150</v>
      </c>
      <c r="B146" s="95" t="s">
        <v>69</v>
      </c>
      <c r="F146" s="109">
        <f t="shared" ref="F146:K146" si="19">F98</f>
        <v>5736</v>
      </c>
      <c r="G146" s="109">
        <f t="shared" si="19"/>
        <v>2494</v>
      </c>
      <c r="H146" s="109">
        <f t="shared" si="19"/>
        <v>271512</v>
      </c>
      <c r="I146" s="109">
        <f t="shared" si="19"/>
        <v>176645.7072</v>
      </c>
      <c r="J146" s="109">
        <f t="shared" si="19"/>
        <v>0</v>
      </c>
      <c r="K146" s="109">
        <f t="shared" si="19"/>
        <v>448157.7072</v>
      </c>
    </row>
    <row r="147" spans="1:11" ht="18" customHeight="1" x14ac:dyDescent="0.4">
      <c r="A147" s="1" t="s">
        <v>153</v>
      </c>
      <c r="B147" s="95" t="s">
        <v>61</v>
      </c>
      <c r="F147" s="310">
        <f t="shared" ref="F147:K147" si="20">F108</f>
        <v>1540</v>
      </c>
      <c r="G147" s="310">
        <f t="shared" si="20"/>
        <v>0</v>
      </c>
      <c r="H147" s="310">
        <f t="shared" si="20"/>
        <v>87620</v>
      </c>
      <c r="I147" s="310">
        <f t="shared" si="20"/>
        <v>57005.572</v>
      </c>
      <c r="J147" s="310">
        <f t="shared" si="20"/>
        <v>0</v>
      </c>
      <c r="K147" s="310">
        <f t="shared" si="20"/>
        <v>144625.57199999999</v>
      </c>
    </row>
    <row r="148" spans="1:11" ht="18" customHeight="1" x14ac:dyDescent="0.4">
      <c r="A148" s="1" t="s">
        <v>155</v>
      </c>
      <c r="B148" s="95" t="s">
        <v>70</v>
      </c>
      <c r="F148" s="110" t="s">
        <v>73</v>
      </c>
      <c r="G148" s="110" t="s">
        <v>73</v>
      </c>
      <c r="H148" s="111" t="s">
        <v>73</v>
      </c>
      <c r="I148" s="111" t="s">
        <v>73</v>
      </c>
      <c r="J148" s="111" t="s">
        <v>73</v>
      </c>
      <c r="K148" s="106">
        <f>F111</f>
        <v>9528010</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4783292.8600000003</v>
      </c>
      <c r="I150" s="310">
        <f>I18</f>
        <v>0</v>
      </c>
      <c r="J150" s="310">
        <f>J18</f>
        <v>3964250.36</v>
      </c>
      <c r="K150" s="310">
        <f>K18</f>
        <v>819042.50000000047</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30056</v>
      </c>
      <c r="G152" s="114">
        <f t="shared" si="22"/>
        <v>67026</v>
      </c>
      <c r="H152" s="114">
        <f t="shared" si="22"/>
        <v>12558468.539999999</v>
      </c>
      <c r="I152" s="114">
        <f t="shared" si="22"/>
        <v>789521.1086080001</v>
      </c>
      <c r="J152" s="114">
        <f t="shared" si="22"/>
        <v>4767357.3599999994</v>
      </c>
      <c r="K152" s="114">
        <f t="shared" si="22"/>
        <v>18108642.288608</v>
      </c>
    </row>
    <row r="154" spans="1:11" ht="18" customHeight="1" x14ac:dyDescent="0.4">
      <c r="A154" s="98" t="s">
        <v>168</v>
      </c>
      <c r="B154" s="95" t="s">
        <v>28</v>
      </c>
      <c r="F154" s="318">
        <f>K152/F121</f>
        <v>8.4064706808217052E-2</v>
      </c>
    </row>
    <row r="155" spans="1:11" ht="18" customHeight="1" x14ac:dyDescent="0.4">
      <c r="A155" s="98" t="s">
        <v>169</v>
      </c>
      <c r="B155" s="95" t="s">
        <v>72</v>
      </c>
      <c r="F155" s="318">
        <f>K152/F127</f>
        <v>1.3150582179187973</v>
      </c>
      <c r="G155" s="95"/>
    </row>
    <row r="156" spans="1:11" ht="18" customHeight="1" x14ac:dyDescent="0.4">
      <c r="G156" s="95"/>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xr:uid="{7E0B4562-4C16-458B-AAF8-06FEA9A8A48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dimension ref="A1:K156"/>
  <sheetViews>
    <sheetView showGridLines="0" topLeftCell="A108" zoomScale="80" zoomScaleNormal="80" zoomScaleSheetLayoutView="70" workbookViewId="0">
      <selection activeCell="E55" sqref="E55"/>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4.83203125" bestFit="1" customWidth="1"/>
    <col min="7" max="7" width="18.71875" bestFit="1" customWidth="1"/>
    <col min="8" max="8" width="16.5546875" bestFit="1" customWidth="1"/>
    <col min="9" max="9" width="18.44140625" bestFit="1" customWidth="1"/>
    <col min="10" max="10" width="12.83203125" bestFit="1" customWidth="1"/>
    <col min="11" max="11" width="17.44140625" bestFit="1"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4" spans="1:11" ht="12.3" x14ac:dyDescent="0.4"/>
    <row r="5" spans="1:11" ht="18" customHeight="1" x14ac:dyDescent="0.4">
      <c r="B5" s="1" t="s">
        <v>40</v>
      </c>
      <c r="C5" s="663" t="s">
        <v>828</v>
      </c>
      <c r="D5" s="666"/>
      <c r="E5" s="666"/>
      <c r="F5" s="666"/>
      <c r="G5" s="667"/>
    </row>
    <row r="6" spans="1:11" ht="18" customHeight="1" x14ac:dyDescent="0.4">
      <c r="B6" s="1" t="s">
        <v>3</v>
      </c>
      <c r="C6" s="683">
        <v>60</v>
      </c>
      <c r="D6" s="684"/>
      <c r="E6" s="684"/>
      <c r="F6" s="684"/>
      <c r="G6" s="685"/>
    </row>
    <row r="7" spans="1:11" ht="18" customHeight="1" x14ac:dyDescent="0.4">
      <c r="B7" s="1" t="s">
        <v>4</v>
      </c>
      <c r="C7" s="686">
        <v>375</v>
      </c>
      <c r="D7" s="687"/>
      <c r="E7" s="687"/>
      <c r="F7" s="687"/>
      <c r="G7" s="688"/>
    </row>
    <row r="8" spans="1:11" ht="12.3" x14ac:dyDescent="0.4"/>
    <row r="9" spans="1:11" ht="18" customHeight="1" x14ac:dyDescent="0.4">
      <c r="B9" s="1" t="s">
        <v>1</v>
      </c>
      <c r="C9" s="663" t="s">
        <v>500</v>
      </c>
      <c r="D9" s="666"/>
      <c r="E9" s="666"/>
      <c r="F9" s="666"/>
      <c r="G9" s="667"/>
    </row>
    <row r="10" spans="1:11" ht="18" customHeight="1" x14ac:dyDescent="0.4">
      <c r="B10" s="1" t="s">
        <v>2</v>
      </c>
      <c r="C10" s="660" t="s">
        <v>501</v>
      </c>
      <c r="D10" s="661"/>
      <c r="E10" s="661"/>
      <c r="F10" s="661"/>
      <c r="G10" s="662"/>
    </row>
    <row r="11" spans="1:11" ht="18" customHeight="1" x14ac:dyDescent="0.4">
      <c r="B11" s="1" t="s">
        <v>32</v>
      </c>
      <c r="C11" s="663" t="s">
        <v>502</v>
      </c>
      <c r="D11" s="664"/>
      <c r="E11" s="664"/>
      <c r="F11" s="664"/>
      <c r="G11" s="665"/>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976942.31</v>
      </c>
      <c r="I18" s="115">
        <v>0</v>
      </c>
      <c r="J18" s="307">
        <v>809660.63</v>
      </c>
      <c r="K18" s="308">
        <f>(H18+I18)-J18</f>
        <v>167281.68000000005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c r="G21" s="306"/>
      <c r="H21" s="307"/>
      <c r="I21" s="115">
        <f t="shared" ref="I21:I34" si="0">H21*F$114</f>
        <v>0</v>
      </c>
      <c r="J21" s="307"/>
      <c r="K21" s="308">
        <f t="shared" ref="K21:K34" si="1">(H21+I21)-J21</f>
        <v>0</v>
      </c>
    </row>
    <row r="22" spans="1:11" ht="18" customHeight="1" x14ac:dyDescent="0.4">
      <c r="A22" s="1" t="s">
        <v>76</v>
      </c>
      <c r="B22" t="s">
        <v>6</v>
      </c>
      <c r="F22" s="306"/>
      <c r="G22" s="306"/>
      <c r="H22" s="307"/>
      <c r="I22" s="115">
        <f t="shared" si="0"/>
        <v>0</v>
      </c>
      <c r="J22" s="307"/>
      <c r="K22" s="308">
        <f t="shared" si="1"/>
        <v>0</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v>300.5</v>
      </c>
      <c r="G25" s="306">
        <v>1014</v>
      </c>
      <c r="H25" s="307">
        <v>13522.5</v>
      </c>
      <c r="I25" s="115">
        <v>327.69</v>
      </c>
      <c r="J25" s="307"/>
      <c r="K25" s="308">
        <f t="shared" si="1"/>
        <v>13850.19</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c r="G29" s="306"/>
      <c r="H29" s="307"/>
      <c r="I29" s="115">
        <f t="shared" si="0"/>
        <v>0</v>
      </c>
      <c r="J29" s="307"/>
      <c r="K29" s="308">
        <f t="shared" si="1"/>
        <v>0</v>
      </c>
    </row>
    <row r="30" spans="1:11" ht="18" customHeight="1" x14ac:dyDescent="0.4">
      <c r="A30" s="1" t="s">
        <v>84</v>
      </c>
      <c r="B30" s="630" t="s">
        <v>829</v>
      </c>
      <c r="C30" s="631"/>
      <c r="D30" s="632"/>
      <c r="F30" s="306">
        <v>2080</v>
      </c>
      <c r="G30" s="306">
        <v>1985</v>
      </c>
      <c r="H30" s="307">
        <f>13911.92+73194.82</f>
        <v>87106.74</v>
      </c>
      <c r="I30" s="115">
        <f>477.36+862.54+201.72+2502.63+4538.08+1061.32</f>
        <v>9643.65</v>
      </c>
      <c r="J30" s="307"/>
      <c r="K30" s="308">
        <f t="shared" si="1"/>
        <v>96750.39</v>
      </c>
    </row>
    <row r="31" spans="1:11" ht="18" customHeight="1" x14ac:dyDescent="0.4">
      <c r="A31" s="1" t="s">
        <v>133</v>
      </c>
      <c r="B31" s="630" t="s">
        <v>830</v>
      </c>
      <c r="C31" s="631"/>
      <c r="D31" s="632"/>
      <c r="F31" s="306">
        <v>0</v>
      </c>
      <c r="G31" s="306">
        <f>11*5</f>
        <v>55</v>
      </c>
      <c r="H31" s="307">
        <v>19900</v>
      </c>
      <c r="I31" s="115">
        <f t="shared" si="0"/>
        <v>0</v>
      </c>
      <c r="J31" s="307"/>
      <c r="K31" s="308">
        <f t="shared" si="1"/>
        <v>19900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2380.5</v>
      </c>
      <c r="G36" s="310">
        <f t="shared" si="2"/>
        <v>3054</v>
      </c>
      <c r="H36" s="310">
        <f t="shared" si="2"/>
        <v>120529.24</v>
      </c>
      <c r="I36" s="308">
        <f t="shared" si="2"/>
        <v>9971.34</v>
      </c>
      <c r="J36" s="308">
        <f t="shared" si="2"/>
        <v>0</v>
      </c>
      <c r="K36" s="308">
        <f t="shared" si="2"/>
        <v>130500.58</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v>264</v>
      </c>
      <c r="G41" s="306">
        <v>67</v>
      </c>
      <c r="H41" s="307">
        <v>9477.56</v>
      </c>
      <c r="I41" s="115">
        <v>1421.63</v>
      </c>
      <c r="J41" s="307"/>
      <c r="K41" s="308">
        <f t="shared" si="3"/>
        <v>10899.189999999999</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8" spans="1:11" ht="12.3" x14ac:dyDescent="0.4"/>
    <row r="49" spans="1:11" ht="18" customHeight="1" x14ac:dyDescent="0.4">
      <c r="A49" s="98" t="s">
        <v>142</v>
      </c>
      <c r="B49" s="95" t="s">
        <v>143</v>
      </c>
      <c r="E49" s="95" t="s">
        <v>7</v>
      </c>
      <c r="F49" s="312">
        <f t="shared" ref="F49:K49" si="4">SUM(F40:F47)</f>
        <v>264</v>
      </c>
      <c r="G49" s="312">
        <f t="shared" si="4"/>
        <v>67</v>
      </c>
      <c r="H49" s="308">
        <f t="shared" si="4"/>
        <v>9477.56</v>
      </c>
      <c r="I49" s="308">
        <f t="shared" si="4"/>
        <v>1421.63</v>
      </c>
      <c r="J49" s="308">
        <f t="shared" si="4"/>
        <v>0</v>
      </c>
      <c r="K49" s="308">
        <f t="shared" si="4"/>
        <v>10899.189999999999</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831</v>
      </c>
      <c r="C53" s="659"/>
      <c r="D53" s="654"/>
      <c r="F53" s="306">
        <f>2080+1040+2080</f>
        <v>5200</v>
      </c>
      <c r="G53" s="306">
        <v>11314</v>
      </c>
      <c r="H53" s="307">
        <v>249888</v>
      </c>
      <c r="I53" s="115">
        <v>24989</v>
      </c>
      <c r="J53" s="307">
        <v>257271</v>
      </c>
      <c r="K53" s="308">
        <f t="shared" ref="K53:K62" si="5">(H53+I53)-J53</f>
        <v>17606</v>
      </c>
    </row>
    <row r="54" spans="1:11" ht="18" customHeight="1" x14ac:dyDescent="0.4">
      <c r="A54" s="1" t="s">
        <v>93</v>
      </c>
      <c r="B54" s="400"/>
      <c r="C54" s="401"/>
      <c r="D54" s="402"/>
      <c r="F54" s="306"/>
      <c r="G54" s="306"/>
      <c r="H54" s="307"/>
      <c r="I54" s="115">
        <v>0</v>
      </c>
      <c r="J54" s="307"/>
      <c r="K54" s="308">
        <f t="shared" si="5"/>
        <v>0</v>
      </c>
    </row>
    <row r="55" spans="1:11" ht="18" customHeight="1" x14ac:dyDescent="0.4">
      <c r="A55" s="1" t="s">
        <v>94</v>
      </c>
      <c r="B55" s="655"/>
      <c r="C55" s="653"/>
      <c r="D55" s="654"/>
      <c r="F55" s="306"/>
      <c r="G55" s="306"/>
      <c r="H55" s="307"/>
      <c r="I55" s="115">
        <v>0</v>
      </c>
      <c r="J55" s="307"/>
      <c r="K55" s="308">
        <f t="shared" si="5"/>
        <v>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5200</v>
      </c>
      <c r="G64" s="310">
        <f t="shared" si="6"/>
        <v>11314</v>
      </c>
      <c r="H64" s="308">
        <f t="shared" si="6"/>
        <v>249888</v>
      </c>
      <c r="I64" s="308">
        <f t="shared" si="6"/>
        <v>24989</v>
      </c>
      <c r="J64" s="308">
        <f t="shared" si="6"/>
        <v>257271</v>
      </c>
      <c r="K64" s="308">
        <f t="shared" si="6"/>
        <v>17606</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0</v>
      </c>
      <c r="G82" s="411">
        <f t="shared" si="8"/>
        <v>0</v>
      </c>
      <c r="H82" s="308">
        <f t="shared" si="8"/>
        <v>0</v>
      </c>
      <c r="I82" s="308">
        <f t="shared" si="8"/>
        <v>0</v>
      </c>
      <c r="J82" s="308">
        <f t="shared" si="8"/>
        <v>0</v>
      </c>
      <c r="K82" s="308">
        <f t="shared" si="8"/>
        <v>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c r="G88" s="306"/>
      <c r="H88" s="307"/>
      <c r="I88" s="115">
        <f t="shared" si="9"/>
        <v>0</v>
      </c>
      <c r="J88" s="307"/>
      <c r="K88" s="308">
        <f t="shared" si="10"/>
        <v>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c r="G91" s="306"/>
      <c r="H91" s="307"/>
      <c r="I91" s="115">
        <f t="shared" si="9"/>
        <v>0</v>
      </c>
      <c r="J91" s="307"/>
      <c r="K91" s="308">
        <f t="shared" si="10"/>
        <v>0</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0</v>
      </c>
      <c r="G98" s="310">
        <f t="shared" si="11"/>
        <v>0</v>
      </c>
      <c r="H98" s="310">
        <f t="shared" si="11"/>
        <v>0</v>
      </c>
      <c r="I98" s="310">
        <f t="shared" si="11"/>
        <v>0</v>
      </c>
      <c r="J98" s="310">
        <f t="shared" si="11"/>
        <v>0</v>
      </c>
      <c r="K98" s="310">
        <f t="shared" si="11"/>
        <v>0</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88</v>
      </c>
      <c r="G102" s="306"/>
      <c r="H102" s="307">
        <v>5409.27</v>
      </c>
      <c r="I102" s="115">
        <v>1386.22</v>
      </c>
      <c r="J102" s="307"/>
      <c r="K102" s="308">
        <f>(H102+I102)-J102</f>
        <v>6795.4900000000007</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88</v>
      </c>
      <c r="G108" s="310">
        <f t="shared" si="12"/>
        <v>0</v>
      </c>
      <c r="H108" s="308">
        <f t="shared" si="12"/>
        <v>5409.27</v>
      </c>
      <c r="I108" s="308">
        <f t="shared" si="12"/>
        <v>1386.22</v>
      </c>
      <c r="J108" s="308">
        <f t="shared" si="12"/>
        <v>0</v>
      </c>
      <c r="K108" s="308">
        <f t="shared" si="12"/>
        <v>6795.4900000000007</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981260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45616600</v>
      </c>
    </row>
    <row r="118" spans="1:6" ht="18" customHeight="1" x14ac:dyDescent="0.4">
      <c r="A118" s="1" t="s">
        <v>173</v>
      </c>
      <c r="B118" t="s">
        <v>18</v>
      </c>
      <c r="F118" s="307">
        <v>1199744</v>
      </c>
    </row>
    <row r="119" spans="1:6" ht="18" customHeight="1" x14ac:dyDescent="0.4">
      <c r="A119" s="1" t="s">
        <v>174</v>
      </c>
      <c r="B119" s="95" t="s">
        <v>19</v>
      </c>
      <c r="F119" s="308">
        <f>SUM(F117:F118)</f>
        <v>46816344</v>
      </c>
    </row>
    <row r="120" spans="1:6" ht="18" customHeight="1" x14ac:dyDescent="0.4">
      <c r="A120" s="1"/>
      <c r="B120" s="95"/>
    </row>
    <row r="121" spans="1:6" ht="18" customHeight="1" x14ac:dyDescent="0.4">
      <c r="A121" s="1" t="s">
        <v>167</v>
      </c>
      <c r="B121" s="95" t="s">
        <v>36</v>
      </c>
      <c r="F121" s="307">
        <v>46221264</v>
      </c>
    </row>
    <row r="122" spans="1:6" ht="18" customHeight="1" x14ac:dyDescent="0.4">
      <c r="A122" s="1"/>
    </row>
    <row r="123" spans="1:6" ht="18" customHeight="1" x14ac:dyDescent="0.4">
      <c r="A123" s="1" t="s">
        <v>175</v>
      </c>
      <c r="B123" s="95" t="s">
        <v>20</v>
      </c>
      <c r="F123" s="307">
        <f>+F119-F121</f>
        <v>595080</v>
      </c>
    </row>
    <row r="124" spans="1:6" ht="18" customHeight="1" x14ac:dyDescent="0.4">
      <c r="A124" s="1"/>
    </row>
    <row r="125" spans="1:6" ht="18" customHeight="1" x14ac:dyDescent="0.4">
      <c r="A125" s="1" t="s">
        <v>176</v>
      </c>
      <c r="B125" s="95" t="s">
        <v>21</v>
      </c>
      <c r="F125" s="307">
        <v>7046635</v>
      </c>
    </row>
    <row r="126" spans="1:6" ht="18" customHeight="1" x14ac:dyDescent="0.4">
      <c r="A126" s="1"/>
    </row>
    <row r="127" spans="1:6" ht="18" customHeight="1" x14ac:dyDescent="0.4">
      <c r="A127" s="1" t="s">
        <v>177</v>
      </c>
      <c r="B127" s="95" t="s">
        <v>22</v>
      </c>
      <c r="F127" s="307">
        <f>F123+F125</f>
        <v>7641715</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2380.5</v>
      </c>
      <c r="G141" s="109">
        <f t="shared" si="14"/>
        <v>3054</v>
      </c>
      <c r="H141" s="109">
        <f t="shared" si="14"/>
        <v>120529.24</v>
      </c>
      <c r="I141" s="109">
        <f t="shared" si="14"/>
        <v>9971.34</v>
      </c>
      <c r="J141" s="109">
        <f t="shared" si="14"/>
        <v>0</v>
      </c>
      <c r="K141" s="109">
        <f t="shared" si="14"/>
        <v>130500.58</v>
      </c>
    </row>
    <row r="142" spans="1:11" ht="18" customHeight="1" x14ac:dyDescent="0.4">
      <c r="A142" s="1" t="s">
        <v>142</v>
      </c>
      <c r="B142" s="95" t="s">
        <v>65</v>
      </c>
      <c r="F142" s="109">
        <f t="shared" ref="F142:K142" si="15">F49</f>
        <v>264</v>
      </c>
      <c r="G142" s="109">
        <f t="shared" si="15"/>
        <v>67</v>
      </c>
      <c r="H142" s="109">
        <f t="shared" si="15"/>
        <v>9477.56</v>
      </c>
      <c r="I142" s="109">
        <f t="shared" si="15"/>
        <v>1421.63</v>
      </c>
      <c r="J142" s="109">
        <f t="shared" si="15"/>
        <v>0</v>
      </c>
      <c r="K142" s="109">
        <f t="shared" si="15"/>
        <v>10899.189999999999</v>
      </c>
    </row>
    <row r="143" spans="1:11" ht="18" customHeight="1" x14ac:dyDescent="0.4">
      <c r="A143" s="1" t="s">
        <v>144</v>
      </c>
      <c r="B143" s="95" t="s">
        <v>66</v>
      </c>
      <c r="F143" s="109">
        <f t="shared" ref="F143:K143" si="16">F64</f>
        <v>5200</v>
      </c>
      <c r="G143" s="109">
        <f t="shared" si="16"/>
        <v>11314</v>
      </c>
      <c r="H143" s="109">
        <f t="shared" si="16"/>
        <v>249888</v>
      </c>
      <c r="I143" s="109">
        <f t="shared" si="16"/>
        <v>24989</v>
      </c>
      <c r="J143" s="109">
        <f t="shared" si="16"/>
        <v>257271</v>
      </c>
      <c r="K143" s="109">
        <f t="shared" si="16"/>
        <v>17606</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0</v>
      </c>
      <c r="G145" s="109">
        <f t="shared" si="18"/>
        <v>0</v>
      </c>
      <c r="H145" s="109">
        <f t="shared" si="18"/>
        <v>0</v>
      </c>
      <c r="I145" s="109">
        <f t="shared" si="18"/>
        <v>0</v>
      </c>
      <c r="J145" s="109">
        <f t="shared" si="18"/>
        <v>0</v>
      </c>
      <c r="K145" s="109">
        <f t="shared" si="18"/>
        <v>0</v>
      </c>
    </row>
    <row r="146" spans="1:11" ht="18" customHeight="1" x14ac:dyDescent="0.4">
      <c r="A146" s="1" t="s">
        <v>150</v>
      </c>
      <c r="B146" s="95" t="s">
        <v>69</v>
      </c>
      <c r="F146" s="109">
        <f t="shared" ref="F146:K146" si="19">F98</f>
        <v>0</v>
      </c>
      <c r="G146" s="109">
        <f t="shared" si="19"/>
        <v>0</v>
      </c>
      <c r="H146" s="109">
        <f t="shared" si="19"/>
        <v>0</v>
      </c>
      <c r="I146" s="109">
        <f t="shared" si="19"/>
        <v>0</v>
      </c>
      <c r="J146" s="109">
        <f t="shared" si="19"/>
        <v>0</v>
      </c>
      <c r="K146" s="109">
        <f t="shared" si="19"/>
        <v>0</v>
      </c>
    </row>
    <row r="147" spans="1:11" ht="18" customHeight="1" x14ac:dyDescent="0.4">
      <c r="A147" s="1" t="s">
        <v>153</v>
      </c>
      <c r="B147" s="95" t="s">
        <v>61</v>
      </c>
      <c r="F147" s="310">
        <f t="shared" ref="F147:K147" si="20">F108</f>
        <v>88</v>
      </c>
      <c r="G147" s="310">
        <f t="shared" si="20"/>
        <v>0</v>
      </c>
      <c r="H147" s="310">
        <f t="shared" si="20"/>
        <v>5409.27</v>
      </c>
      <c r="I147" s="310">
        <f t="shared" si="20"/>
        <v>1386.22</v>
      </c>
      <c r="J147" s="310">
        <f t="shared" si="20"/>
        <v>0</v>
      </c>
      <c r="K147" s="310">
        <f t="shared" si="20"/>
        <v>6795.4900000000007</v>
      </c>
    </row>
    <row r="148" spans="1:11" ht="18" customHeight="1" x14ac:dyDescent="0.4">
      <c r="A148" s="1" t="s">
        <v>155</v>
      </c>
      <c r="B148" s="95" t="s">
        <v>70</v>
      </c>
      <c r="F148" s="110" t="s">
        <v>73</v>
      </c>
      <c r="G148" s="110" t="s">
        <v>73</v>
      </c>
      <c r="H148" s="111" t="s">
        <v>73</v>
      </c>
      <c r="I148" s="111" t="s">
        <v>73</v>
      </c>
      <c r="J148" s="111" t="s">
        <v>73</v>
      </c>
      <c r="K148" s="106">
        <f>F111</f>
        <v>981260</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976942.31</v>
      </c>
      <c r="I150" s="310">
        <f>I18</f>
        <v>0</v>
      </c>
      <c r="J150" s="310">
        <f>J18</f>
        <v>809660.63</v>
      </c>
      <c r="K150" s="310">
        <f>K18</f>
        <v>167281.68000000005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7932.5</v>
      </c>
      <c r="G152" s="114">
        <f t="shared" si="22"/>
        <v>14435</v>
      </c>
      <c r="H152" s="114">
        <f t="shared" si="22"/>
        <v>1362246.3800000001</v>
      </c>
      <c r="I152" s="114">
        <f t="shared" si="22"/>
        <v>37768.19</v>
      </c>
      <c r="J152" s="114">
        <f t="shared" si="22"/>
        <v>1066931.6299999999</v>
      </c>
      <c r="K152" s="114">
        <f t="shared" si="22"/>
        <v>1314342.94</v>
      </c>
    </row>
    <row r="153" spans="1:11" ht="12.3" x14ac:dyDescent="0.4"/>
    <row r="154" spans="1:11" ht="18" customHeight="1" x14ac:dyDescent="0.4">
      <c r="A154" s="98" t="s">
        <v>168</v>
      </c>
      <c r="B154" s="95" t="s">
        <v>28</v>
      </c>
      <c r="F154" s="318">
        <f>K152/F121</f>
        <v>2.843589348833039E-2</v>
      </c>
    </row>
    <row r="155" spans="1:11" ht="18" customHeight="1" x14ac:dyDescent="0.4">
      <c r="A155" s="98" t="s">
        <v>169</v>
      </c>
      <c r="B155" s="95" t="s">
        <v>72</v>
      </c>
      <c r="F155" s="318">
        <f>K152/F127</f>
        <v>0.17199580722390195</v>
      </c>
      <c r="G155" s="95"/>
    </row>
    <row r="156" spans="1:11" ht="18" customHeight="1" x14ac:dyDescent="0.4">
      <c r="G156" s="95"/>
    </row>
  </sheetData>
  <mergeCells count="34">
    <mergeCell ref="B103:C103"/>
    <mergeCell ref="B96:D96"/>
    <mergeCell ref="B95:D95"/>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31:D31"/>
    <mergeCell ref="B46:D46"/>
    <mergeCell ref="B47:D47"/>
    <mergeCell ref="B57:D57"/>
    <mergeCell ref="B94:D94"/>
    <mergeCell ref="B52:C52"/>
    <mergeCell ref="B90:C90"/>
    <mergeCell ref="B53:D53"/>
    <mergeCell ref="B55:D55"/>
    <mergeCell ref="B56:D56"/>
    <mergeCell ref="B59:D59"/>
    <mergeCell ref="B62:D6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1"/>
  <dimension ref="A1:K156"/>
  <sheetViews>
    <sheetView showGridLines="0" topLeftCell="A132" zoomScale="85" zoomScaleNormal="85" zoomScaleSheetLayoutView="80" workbookViewId="0">
      <selection activeCell="E140" sqref="E140"/>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231</v>
      </c>
      <c r="D5" s="666"/>
      <c r="E5" s="666"/>
      <c r="F5" s="666"/>
      <c r="G5" s="667"/>
    </row>
    <row r="6" spans="1:11" ht="18" customHeight="1" x14ac:dyDescent="0.4">
      <c r="B6" s="1" t="s">
        <v>3</v>
      </c>
      <c r="C6" s="668">
        <v>61</v>
      </c>
      <c r="D6" s="669"/>
      <c r="E6" s="669"/>
      <c r="F6" s="669"/>
      <c r="G6" s="670"/>
    </row>
    <row r="7" spans="1:11" ht="18" customHeight="1" x14ac:dyDescent="0.4">
      <c r="B7" s="1" t="s">
        <v>4</v>
      </c>
      <c r="C7" s="689">
        <v>985</v>
      </c>
      <c r="D7" s="690"/>
      <c r="E7" s="690"/>
      <c r="F7" s="690"/>
      <c r="G7" s="691"/>
    </row>
    <row r="9" spans="1:11" ht="18" customHeight="1" x14ac:dyDescent="0.4">
      <c r="B9" s="1" t="s">
        <v>1</v>
      </c>
      <c r="C9" s="731" t="s">
        <v>232</v>
      </c>
      <c r="D9" s="666"/>
      <c r="E9" s="666"/>
      <c r="F9" s="666"/>
      <c r="G9" s="667"/>
    </row>
    <row r="10" spans="1:11" ht="18" customHeight="1" x14ac:dyDescent="0.4">
      <c r="B10" s="1" t="s">
        <v>2</v>
      </c>
      <c r="C10" s="733" t="s">
        <v>648</v>
      </c>
      <c r="D10" s="661"/>
      <c r="E10" s="661"/>
      <c r="F10" s="661"/>
      <c r="G10" s="662"/>
    </row>
    <row r="11" spans="1:11" ht="18" customHeight="1" x14ac:dyDescent="0.4">
      <c r="B11" s="1" t="s">
        <v>32</v>
      </c>
      <c r="C11" s="682" t="s">
        <v>233</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2126717.87</v>
      </c>
      <c r="I18" s="115">
        <v>0</v>
      </c>
      <c r="J18" s="307">
        <v>1762560.3</v>
      </c>
      <c r="K18" s="308">
        <f>(H18+I18)-J18</f>
        <v>364157.57000000007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872.5</v>
      </c>
      <c r="G21" s="306">
        <v>15960</v>
      </c>
      <c r="H21" s="307">
        <v>49202</v>
      </c>
      <c r="I21" s="115">
        <f t="shared" ref="I21:I34" si="0">H21*F$114</f>
        <v>35626.873158237664</v>
      </c>
      <c r="J21" s="307">
        <v>610</v>
      </c>
      <c r="K21" s="308">
        <f t="shared" ref="K21:K34" si="1">(H21+I21)-J21</f>
        <v>84218.873158237664</v>
      </c>
    </row>
    <row r="22" spans="1:11" ht="18" customHeight="1" x14ac:dyDescent="0.4">
      <c r="A22" s="1" t="s">
        <v>76</v>
      </c>
      <c r="B22" t="s">
        <v>6</v>
      </c>
      <c r="F22" s="306">
        <v>87.3</v>
      </c>
      <c r="G22" s="306">
        <v>409</v>
      </c>
      <c r="H22" s="307">
        <v>4477</v>
      </c>
      <c r="I22" s="115">
        <f t="shared" si="0"/>
        <v>3241.7688534903054</v>
      </c>
      <c r="J22" s="307"/>
      <c r="K22" s="308">
        <f t="shared" si="1"/>
        <v>7718.7688534903054</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v>116</v>
      </c>
      <c r="G24" s="306">
        <v>135</v>
      </c>
      <c r="H24" s="307">
        <v>4225</v>
      </c>
      <c r="I24" s="115">
        <f t="shared" si="0"/>
        <v>3059.2971646183919</v>
      </c>
      <c r="J24" s="307"/>
      <c r="K24" s="308">
        <f t="shared" si="1"/>
        <v>7284.2971646183923</v>
      </c>
    </row>
    <row r="25" spans="1:11" ht="18" customHeight="1" x14ac:dyDescent="0.4">
      <c r="A25" s="1" t="s">
        <v>79</v>
      </c>
      <c r="B25" t="s">
        <v>5</v>
      </c>
      <c r="F25" s="306">
        <v>172</v>
      </c>
      <c r="G25" s="306">
        <v>642</v>
      </c>
      <c r="H25" s="307">
        <v>6709</v>
      </c>
      <c r="I25" s="115">
        <f t="shared" si="0"/>
        <v>4857.9466692129681</v>
      </c>
      <c r="J25" s="307"/>
      <c r="K25" s="308">
        <f t="shared" si="1"/>
        <v>11566.946669212968</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v>148</v>
      </c>
      <c r="G27" s="306">
        <v>4422</v>
      </c>
      <c r="H27" s="307">
        <v>66723</v>
      </c>
      <c r="I27" s="115">
        <f t="shared" si="0"/>
        <v>48313.724192859874</v>
      </c>
      <c r="J27" s="307"/>
      <c r="K27" s="308">
        <f t="shared" si="1"/>
        <v>115036.72419285987</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1776.7</v>
      </c>
      <c r="G29" s="306">
        <v>786</v>
      </c>
      <c r="H29" s="307">
        <v>34033</v>
      </c>
      <c r="I29" s="115">
        <f t="shared" si="0"/>
        <v>24643.091219753311</v>
      </c>
      <c r="J29" s="307"/>
      <c r="K29" s="308">
        <f t="shared" si="1"/>
        <v>58676.091219753311</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3172.5</v>
      </c>
      <c r="G36" s="310">
        <f t="shared" si="2"/>
        <v>22354</v>
      </c>
      <c r="H36" s="310">
        <f t="shared" si="2"/>
        <v>165369</v>
      </c>
      <c r="I36" s="308">
        <f t="shared" si="2"/>
        <v>119742.70125817251</v>
      </c>
      <c r="J36" s="308">
        <f t="shared" si="2"/>
        <v>610</v>
      </c>
      <c r="K36" s="308">
        <f t="shared" si="2"/>
        <v>284501.70125817251</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v>1882</v>
      </c>
      <c r="G41" s="306">
        <v>1322</v>
      </c>
      <c r="H41" s="307">
        <v>71569</v>
      </c>
      <c r="I41" s="115">
        <v>0</v>
      </c>
      <c r="J41" s="307"/>
      <c r="K41" s="308">
        <f t="shared" si="3"/>
        <v>71569</v>
      </c>
    </row>
    <row r="42" spans="1:11" ht="18" customHeight="1" x14ac:dyDescent="0.4">
      <c r="A42" s="1" t="s">
        <v>89</v>
      </c>
      <c r="B42" s="94" t="s">
        <v>11</v>
      </c>
      <c r="F42" s="306">
        <v>6508</v>
      </c>
      <c r="G42" s="306">
        <v>4511</v>
      </c>
      <c r="H42" s="307">
        <v>239166</v>
      </c>
      <c r="I42" s="115">
        <v>0</v>
      </c>
      <c r="J42" s="307"/>
      <c r="K42" s="308">
        <f t="shared" si="3"/>
        <v>239166</v>
      </c>
    </row>
    <row r="43" spans="1:11" ht="18" customHeight="1" x14ac:dyDescent="0.4">
      <c r="A43" s="1" t="s">
        <v>90</v>
      </c>
      <c r="B43" s="94" t="s">
        <v>10</v>
      </c>
      <c r="F43" s="306">
        <v>40</v>
      </c>
      <c r="G43" s="306">
        <v>163</v>
      </c>
      <c r="H43" s="307">
        <v>1904</v>
      </c>
      <c r="I43" s="115">
        <v>0</v>
      </c>
      <c r="J43" s="307"/>
      <c r="K43" s="308">
        <f t="shared" si="3"/>
        <v>1904</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8430</v>
      </c>
      <c r="G49" s="312">
        <f t="shared" si="4"/>
        <v>5996</v>
      </c>
      <c r="H49" s="308">
        <f t="shared" si="4"/>
        <v>312639</v>
      </c>
      <c r="I49" s="308">
        <f t="shared" si="4"/>
        <v>0</v>
      </c>
      <c r="J49" s="308">
        <f t="shared" si="4"/>
        <v>0</v>
      </c>
      <c r="K49" s="308">
        <f t="shared" si="4"/>
        <v>312639</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740" t="s">
        <v>832</v>
      </c>
      <c r="C53" s="659"/>
      <c r="D53" s="654"/>
      <c r="F53" s="306">
        <v>8816</v>
      </c>
      <c r="G53" s="306">
        <v>94</v>
      </c>
      <c r="H53" s="307">
        <f>63269+30162</f>
        <v>93431</v>
      </c>
      <c r="I53" s="115">
        <v>0</v>
      </c>
      <c r="J53" s="307">
        <v>19055</v>
      </c>
      <c r="K53" s="308">
        <f t="shared" ref="K53:K62" si="5">(H53+I53)-J53</f>
        <v>74376</v>
      </c>
    </row>
    <row r="54" spans="1:11" ht="18" customHeight="1" x14ac:dyDescent="0.4">
      <c r="A54" s="1" t="s">
        <v>93</v>
      </c>
      <c r="B54" s="483" t="s">
        <v>833</v>
      </c>
      <c r="C54" s="401"/>
      <c r="D54" s="402"/>
      <c r="F54" s="306"/>
      <c r="G54" s="306"/>
      <c r="H54" s="307">
        <v>116287</v>
      </c>
      <c r="I54" s="115">
        <v>0</v>
      </c>
      <c r="J54" s="307"/>
      <c r="K54" s="308">
        <f t="shared" si="5"/>
        <v>116287</v>
      </c>
    </row>
    <row r="55" spans="1:11" ht="18" customHeight="1" x14ac:dyDescent="0.4">
      <c r="A55" s="1" t="s">
        <v>94</v>
      </c>
      <c r="B55" s="655"/>
      <c r="C55" s="653"/>
      <c r="D55" s="654"/>
      <c r="F55" s="306"/>
      <c r="G55" s="306"/>
      <c r="H55" s="307"/>
      <c r="I55" s="115">
        <v>0</v>
      </c>
      <c r="J55" s="307"/>
      <c r="K55" s="308">
        <f t="shared" si="5"/>
        <v>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8816</v>
      </c>
      <c r="G64" s="310">
        <f t="shared" si="6"/>
        <v>94</v>
      </c>
      <c r="H64" s="308">
        <f t="shared" si="6"/>
        <v>209718</v>
      </c>
      <c r="I64" s="308">
        <f t="shared" si="6"/>
        <v>0</v>
      </c>
      <c r="J64" s="308">
        <f t="shared" si="6"/>
        <v>19055</v>
      </c>
      <c r="K64" s="308">
        <f t="shared" si="6"/>
        <v>190663</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v>10</v>
      </c>
      <c r="G78" s="306"/>
      <c r="H78" s="307">
        <v>878</v>
      </c>
      <c r="I78" s="115">
        <v>0</v>
      </c>
      <c r="J78" s="307"/>
      <c r="K78" s="308">
        <f>(H78+I78)-J78</f>
        <v>878</v>
      </c>
    </row>
    <row r="79" spans="1:11" ht="18" customHeight="1" x14ac:dyDescent="0.4">
      <c r="A79" s="1" t="s">
        <v>109</v>
      </c>
      <c r="B79" s="94" t="s">
        <v>13</v>
      </c>
      <c r="F79" s="306">
        <v>96</v>
      </c>
      <c r="G79" s="306">
        <v>553</v>
      </c>
      <c r="H79" s="307">
        <v>58863</v>
      </c>
      <c r="I79" s="115">
        <v>0</v>
      </c>
      <c r="J79" s="307"/>
      <c r="K79" s="308">
        <f>(H79+I79)-J79</f>
        <v>58863</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106</v>
      </c>
      <c r="G82" s="411">
        <f t="shared" si="8"/>
        <v>553</v>
      </c>
      <c r="H82" s="308">
        <f t="shared" si="8"/>
        <v>59741</v>
      </c>
      <c r="I82" s="308">
        <f t="shared" si="8"/>
        <v>0</v>
      </c>
      <c r="J82" s="308">
        <f t="shared" si="8"/>
        <v>0</v>
      </c>
      <c r="K82" s="308">
        <f t="shared" si="8"/>
        <v>59741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43</v>
      </c>
      <c r="G86" s="306">
        <v>1276</v>
      </c>
      <c r="H86" s="307">
        <v>3316</v>
      </c>
      <c r="I86" s="115">
        <f t="shared" ref="I86:I96" si="9">H86*F$114</f>
        <v>2401.095715473275</v>
      </c>
      <c r="J86" s="307"/>
      <c r="K86" s="308">
        <f t="shared" ref="K86:K96" si="10">(H86+I86)-J86</f>
        <v>5717.095715473275</v>
      </c>
    </row>
    <row r="87" spans="1:11" ht="18" customHeight="1" x14ac:dyDescent="0.4">
      <c r="A87" s="1" t="s">
        <v>114</v>
      </c>
      <c r="B87" s="94" t="s">
        <v>14</v>
      </c>
      <c r="F87" s="306">
        <v>39.5</v>
      </c>
      <c r="G87" s="306">
        <v>1330</v>
      </c>
      <c r="H87" s="307">
        <v>2906</v>
      </c>
      <c r="I87" s="115">
        <f t="shared" si="9"/>
        <v>2104.2171740546855</v>
      </c>
      <c r="J87" s="307"/>
      <c r="K87" s="308">
        <f t="shared" si="10"/>
        <v>5010.2171740546855</v>
      </c>
    </row>
    <row r="88" spans="1:11" ht="18" customHeight="1" x14ac:dyDescent="0.4">
      <c r="A88" s="1" t="s">
        <v>115</v>
      </c>
      <c r="B88" s="94" t="s">
        <v>116</v>
      </c>
      <c r="F88" s="306">
        <v>47.5</v>
      </c>
      <c r="G88" s="306">
        <v>159</v>
      </c>
      <c r="H88" s="307">
        <v>2177</v>
      </c>
      <c r="I88" s="115">
        <f t="shared" si="9"/>
        <v>1576.3526455323642</v>
      </c>
      <c r="J88" s="307"/>
      <c r="K88" s="308">
        <f t="shared" si="10"/>
        <v>3753.3526455323645</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v>48</v>
      </c>
      <c r="G90" s="306">
        <v>180</v>
      </c>
      <c r="H90" s="307">
        <v>4200</v>
      </c>
      <c r="I90" s="115">
        <f t="shared" si="9"/>
        <v>3041.1948145318925</v>
      </c>
      <c r="J90" s="307"/>
      <c r="K90" s="308">
        <f t="shared" si="10"/>
        <v>7241.1948145318929</v>
      </c>
    </row>
    <row r="91" spans="1:11" ht="18" customHeight="1" x14ac:dyDescent="0.4">
      <c r="A91" s="1" t="s">
        <v>119</v>
      </c>
      <c r="B91" s="94" t="s">
        <v>60</v>
      </c>
      <c r="F91" s="306">
        <v>297</v>
      </c>
      <c r="G91" s="306">
        <v>1172</v>
      </c>
      <c r="H91" s="307">
        <v>16373</v>
      </c>
      <c r="I91" s="115">
        <f t="shared" si="9"/>
        <v>11855.591118650162</v>
      </c>
      <c r="J91" s="307"/>
      <c r="K91" s="308">
        <f t="shared" si="10"/>
        <v>28228.591118650162</v>
      </c>
    </row>
    <row r="92" spans="1:11" ht="18" customHeight="1" x14ac:dyDescent="0.4">
      <c r="A92" s="1" t="s">
        <v>120</v>
      </c>
      <c r="B92" s="94" t="s">
        <v>121</v>
      </c>
      <c r="F92" s="107">
        <v>4</v>
      </c>
      <c r="G92" s="107">
        <v>50</v>
      </c>
      <c r="H92" s="108">
        <v>350</v>
      </c>
      <c r="I92" s="115">
        <f t="shared" si="9"/>
        <v>253.43290121099105</v>
      </c>
      <c r="J92" s="108"/>
      <c r="K92" s="308">
        <f t="shared" si="10"/>
        <v>603.43290121099108</v>
      </c>
    </row>
    <row r="93" spans="1:11" ht="18" customHeight="1" x14ac:dyDescent="0.4">
      <c r="A93" s="1" t="s">
        <v>122</v>
      </c>
      <c r="B93" s="94" t="s">
        <v>123</v>
      </c>
      <c r="F93" s="306">
        <v>167</v>
      </c>
      <c r="G93" s="306">
        <v>358</v>
      </c>
      <c r="H93" s="307">
        <v>15174</v>
      </c>
      <c r="I93" s="115">
        <f t="shared" si="9"/>
        <v>10987.402408501652</v>
      </c>
      <c r="J93" s="307"/>
      <c r="K93" s="308">
        <f t="shared" si="10"/>
        <v>26161.40240850165</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646</v>
      </c>
      <c r="G98" s="310">
        <f t="shared" si="11"/>
        <v>4525</v>
      </c>
      <c r="H98" s="310">
        <f t="shared" si="11"/>
        <v>44496</v>
      </c>
      <c r="I98" s="310">
        <f t="shared" si="11"/>
        <v>32219.286777955022</v>
      </c>
      <c r="J98" s="310">
        <f t="shared" si="11"/>
        <v>0</v>
      </c>
      <c r="K98" s="310">
        <f t="shared" si="11"/>
        <v>76715.286777955014</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63</v>
      </c>
      <c r="G102" s="306">
        <v>10</v>
      </c>
      <c r="H102" s="307">
        <f>3364+179804</f>
        <v>183168</v>
      </c>
      <c r="I102" s="115">
        <f>H102*F$114</f>
        <v>132630.85042575659</v>
      </c>
      <c r="J102" s="307"/>
      <c r="K102" s="308">
        <f>(H102+I102)-J102</f>
        <v>315798.85042575659</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2" t="s">
        <v>834</v>
      </c>
      <c r="C104" s="653"/>
      <c r="D104" s="654"/>
      <c r="F104" s="306">
        <v>21</v>
      </c>
      <c r="G104" s="306">
        <v>0</v>
      </c>
      <c r="H104" s="307">
        <v>1429</v>
      </c>
      <c r="I104" s="115">
        <f>H104*F$114</f>
        <v>1034.7303309443034</v>
      </c>
      <c r="J104" s="307"/>
      <c r="K104" s="308">
        <f>(H104+I104)-J104</f>
        <v>2463.7303309443032</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84</v>
      </c>
      <c r="G108" s="310">
        <f t="shared" si="12"/>
        <v>10</v>
      </c>
      <c r="H108" s="308">
        <f t="shared" si="12"/>
        <v>184597</v>
      </c>
      <c r="I108" s="308">
        <f t="shared" si="12"/>
        <v>133665.58075670089</v>
      </c>
      <c r="J108" s="308">
        <f t="shared" si="12"/>
        <v>0</v>
      </c>
      <c r="K108" s="308">
        <f t="shared" si="12"/>
        <v>318262.58075670089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2158110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70">
        <f>(7219+18073+5471.2+1465.5)/(44509)</f>
        <v>0.72409400345997443</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116773643</v>
      </c>
    </row>
    <row r="118" spans="1:6" ht="18" customHeight="1" x14ac:dyDescent="0.4">
      <c r="A118" s="1" t="s">
        <v>173</v>
      </c>
      <c r="B118" t="s">
        <v>18</v>
      </c>
      <c r="F118" s="307">
        <v>16667201</v>
      </c>
    </row>
    <row r="119" spans="1:6" ht="18" customHeight="1" x14ac:dyDescent="0.4">
      <c r="A119" s="1" t="s">
        <v>174</v>
      </c>
      <c r="B119" s="95" t="s">
        <v>19</v>
      </c>
      <c r="F119" s="308">
        <f>SUM(F117:F118)</f>
        <v>133440844</v>
      </c>
    </row>
    <row r="120" spans="1:6" ht="18" customHeight="1" x14ac:dyDescent="0.4">
      <c r="A120" s="1"/>
      <c r="B120" s="95"/>
    </row>
    <row r="121" spans="1:6" ht="18" customHeight="1" x14ac:dyDescent="0.4">
      <c r="A121" s="1" t="s">
        <v>167</v>
      </c>
      <c r="B121" s="95" t="s">
        <v>36</v>
      </c>
      <c r="F121" s="307">
        <v>134967041</v>
      </c>
    </row>
    <row r="122" spans="1:6" ht="18" customHeight="1" x14ac:dyDescent="0.4">
      <c r="A122" s="1"/>
    </row>
    <row r="123" spans="1:6" ht="18" customHeight="1" x14ac:dyDescent="0.4">
      <c r="A123" s="1" t="s">
        <v>175</v>
      </c>
      <c r="B123" s="95" t="s">
        <v>20</v>
      </c>
      <c r="F123" s="307">
        <f>+F119-F121</f>
        <v>-1526197</v>
      </c>
    </row>
    <row r="124" spans="1:6" ht="18" customHeight="1" x14ac:dyDescent="0.4">
      <c r="A124" s="1"/>
    </row>
    <row r="125" spans="1:6" ht="18" customHeight="1" x14ac:dyDescent="0.4">
      <c r="A125" s="1" t="s">
        <v>176</v>
      </c>
      <c r="B125" s="95" t="s">
        <v>21</v>
      </c>
      <c r="F125" s="307">
        <v>-2958785</v>
      </c>
    </row>
    <row r="126" spans="1:6" ht="18" customHeight="1" x14ac:dyDescent="0.4">
      <c r="A126" s="1"/>
    </row>
    <row r="127" spans="1:6" ht="18" customHeight="1" x14ac:dyDescent="0.4">
      <c r="A127" s="1" t="s">
        <v>177</v>
      </c>
      <c r="B127" s="95" t="s">
        <v>22</v>
      </c>
      <c r="F127" s="307">
        <f>+F123+F125</f>
        <v>-4484982</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3172.5</v>
      </c>
      <c r="G141" s="109">
        <f t="shared" si="14"/>
        <v>22354</v>
      </c>
      <c r="H141" s="109">
        <f t="shared" si="14"/>
        <v>165369</v>
      </c>
      <c r="I141" s="109">
        <f t="shared" si="14"/>
        <v>119742.70125817251</v>
      </c>
      <c r="J141" s="109">
        <f t="shared" si="14"/>
        <v>610</v>
      </c>
      <c r="K141" s="109">
        <f t="shared" si="14"/>
        <v>284501.70125817251</v>
      </c>
    </row>
    <row r="142" spans="1:11" ht="18" customHeight="1" x14ac:dyDescent="0.4">
      <c r="A142" s="1" t="s">
        <v>142</v>
      </c>
      <c r="B142" s="95" t="s">
        <v>65</v>
      </c>
      <c r="F142" s="109">
        <f t="shared" ref="F142:K142" si="15">F49</f>
        <v>8430</v>
      </c>
      <c r="G142" s="109">
        <f t="shared" si="15"/>
        <v>5996</v>
      </c>
      <c r="H142" s="109">
        <f t="shared" si="15"/>
        <v>312639</v>
      </c>
      <c r="I142" s="109">
        <f t="shared" si="15"/>
        <v>0</v>
      </c>
      <c r="J142" s="109">
        <f t="shared" si="15"/>
        <v>0</v>
      </c>
      <c r="K142" s="109">
        <f t="shared" si="15"/>
        <v>312639</v>
      </c>
    </row>
    <row r="143" spans="1:11" ht="18" customHeight="1" x14ac:dyDescent="0.4">
      <c r="A143" s="1" t="s">
        <v>144</v>
      </c>
      <c r="B143" s="95" t="s">
        <v>66</v>
      </c>
      <c r="F143" s="109">
        <f t="shared" ref="F143:K143" si="16">F64</f>
        <v>8816</v>
      </c>
      <c r="G143" s="109">
        <f t="shared" si="16"/>
        <v>94</v>
      </c>
      <c r="H143" s="109">
        <f t="shared" si="16"/>
        <v>209718</v>
      </c>
      <c r="I143" s="109">
        <f t="shared" si="16"/>
        <v>0</v>
      </c>
      <c r="J143" s="109">
        <f t="shared" si="16"/>
        <v>19055</v>
      </c>
      <c r="K143" s="109">
        <f t="shared" si="16"/>
        <v>190663</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106</v>
      </c>
      <c r="G145" s="109">
        <f t="shared" si="18"/>
        <v>553</v>
      </c>
      <c r="H145" s="109">
        <f t="shared" si="18"/>
        <v>59741</v>
      </c>
      <c r="I145" s="109">
        <f t="shared" si="18"/>
        <v>0</v>
      </c>
      <c r="J145" s="109">
        <f t="shared" si="18"/>
        <v>0</v>
      </c>
      <c r="K145" s="109">
        <f t="shared" si="18"/>
        <v>59741</v>
      </c>
    </row>
    <row r="146" spans="1:11" ht="18" customHeight="1" x14ac:dyDescent="0.4">
      <c r="A146" s="1" t="s">
        <v>150</v>
      </c>
      <c r="B146" s="95" t="s">
        <v>69</v>
      </c>
      <c r="F146" s="109">
        <f t="shared" ref="F146:K146" si="19">F98</f>
        <v>646</v>
      </c>
      <c r="G146" s="109">
        <f t="shared" si="19"/>
        <v>4525</v>
      </c>
      <c r="H146" s="109">
        <f t="shared" si="19"/>
        <v>44496</v>
      </c>
      <c r="I146" s="109">
        <f t="shared" si="19"/>
        <v>32219.286777955022</v>
      </c>
      <c r="J146" s="109">
        <f t="shared" si="19"/>
        <v>0</v>
      </c>
      <c r="K146" s="109">
        <f t="shared" si="19"/>
        <v>76715.286777955014</v>
      </c>
    </row>
    <row r="147" spans="1:11" ht="18" customHeight="1" x14ac:dyDescent="0.4">
      <c r="A147" s="1" t="s">
        <v>153</v>
      </c>
      <c r="B147" s="95" t="s">
        <v>61</v>
      </c>
      <c r="F147" s="310">
        <f t="shared" ref="F147:K147" si="20">F108</f>
        <v>84</v>
      </c>
      <c r="G147" s="310">
        <f t="shared" si="20"/>
        <v>10</v>
      </c>
      <c r="H147" s="310">
        <f t="shared" si="20"/>
        <v>184597</v>
      </c>
      <c r="I147" s="310">
        <f t="shared" si="20"/>
        <v>133665.58075670089</v>
      </c>
      <c r="J147" s="310">
        <f t="shared" si="20"/>
        <v>0</v>
      </c>
      <c r="K147" s="310">
        <f t="shared" si="20"/>
        <v>318262.58075670089</v>
      </c>
    </row>
    <row r="148" spans="1:11" ht="18" customHeight="1" x14ac:dyDescent="0.4">
      <c r="A148" s="1" t="s">
        <v>155</v>
      </c>
      <c r="B148" s="95" t="s">
        <v>70</v>
      </c>
      <c r="F148" s="110" t="s">
        <v>73</v>
      </c>
      <c r="G148" s="110" t="s">
        <v>73</v>
      </c>
      <c r="H148" s="111" t="s">
        <v>73</v>
      </c>
      <c r="I148" s="111" t="s">
        <v>73</v>
      </c>
      <c r="J148" s="111" t="s">
        <v>73</v>
      </c>
      <c r="K148" s="106">
        <f>F111</f>
        <v>2158110</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2126717.87</v>
      </c>
      <c r="I150" s="310">
        <f>I18</f>
        <v>0</v>
      </c>
      <c r="J150" s="310">
        <f>J18</f>
        <v>1762560.3</v>
      </c>
      <c r="K150" s="310">
        <f>K18</f>
        <v>364157.57000000007</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21254.5</v>
      </c>
      <c r="G152" s="114">
        <f t="shared" si="22"/>
        <v>33532</v>
      </c>
      <c r="H152" s="114">
        <f t="shared" si="22"/>
        <v>3103277.87</v>
      </c>
      <c r="I152" s="114">
        <f t="shared" si="22"/>
        <v>285627.56879282842</v>
      </c>
      <c r="J152" s="114">
        <f t="shared" si="22"/>
        <v>1782225.3</v>
      </c>
      <c r="K152" s="114">
        <f t="shared" si="22"/>
        <v>3764790.1387928287</v>
      </c>
    </row>
    <row r="154" spans="1:11" ht="18" customHeight="1" x14ac:dyDescent="0.4">
      <c r="A154" s="98" t="s">
        <v>168</v>
      </c>
      <c r="B154" s="95" t="s">
        <v>28</v>
      </c>
      <c r="F154" s="318">
        <f>K152/F121</f>
        <v>2.7894144458518792E-2</v>
      </c>
    </row>
    <row r="155" spans="1:11" ht="18" customHeight="1" x14ac:dyDescent="0.4">
      <c r="A155" s="98" t="s">
        <v>169</v>
      </c>
      <c r="B155" s="95" t="s">
        <v>72</v>
      </c>
      <c r="F155" s="318">
        <f>K152/F127</f>
        <v>-0.83942146006223184</v>
      </c>
      <c r="G155" s="95"/>
    </row>
    <row r="156" spans="1:11" ht="18" customHeight="1" x14ac:dyDescent="0.4">
      <c r="G156" s="95"/>
    </row>
  </sheetData>
  <mergeCells count="34">
    <mergeCell ref="D2:H2"/>
    <mergeCell ref="B34:D34"/>
    <mergeCell ref="B41:C41"/>
    <mergeCell ref="B13:H13"/>
    <mergeCell ref="B134:D134"/>
    <mergeCell ref="B103:C103"/>
    <mergeCell ref="B96:D96"/>
    <mergeCell ref="B94:D94"/>
    <mergeCell ref="B52:C52"/>
    <mergeCell ref="B90:C90"/>
    <mergeCell ref="B59:D59"/>
    <mergeCell ref="B53:D53"/>
    <mergeCell ref="B55:D55"/>
    <mergeCell ref="B56:D56"/>
    <mergeCell ref="B95:D95"/>
    <mergeCell ref="C10:G10"/>
    <mergeCell ref="B135:D135"/>
    <mergeCell ref="B133:D133"/>
    <mergeCell ref="B104:D104"/>
    <mergeCell ref="B105:D105"/>
    <mergeCell ref="B106:D106"/>
    <mergeCell ref="B62:D62"/>
    <mergeCell ref="B31:D31"/>
    <mergeCell ref="B30:D30"/>
    <mergeCell ref="C5:G5"/>
    <mergeCell ref="C6:G6"/>
    <mergeCell ref="C7:G7"/>
    <mergeCell ref="C11:G11"/>
    <mergeCell ref="C9:G9"/>
    <mergeCell ref="B45:D45"/>
    <mergeCell ref="B46:D46"/>
    <mergeCell ref="B47:D47"/>
    <mergeCell ref="B44:D44"/>
    <mergeCell ref="B57:D57"/>
  </mergeCells>
  <hyperlinks>
    <hyperlink ref="C11" r:id="rId1" xr:uid="{DEFC3872-C899-48F4-8DA4-FA7FCFCE8F7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2"/>
  <dimension ref="A1:K156"/>
  <sheetViews>
    <sheetView showGridLines="0" topLeftCell="A136" zoomScale="80" zoomScaleNormal="80" zoomScaleSheetLayoutView="100" workbookViewId="0">
      <selection activeCell="H118" sqref="H118"/>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38671875" customWidth="1"/>
    <col min="9" max="9" width="21.38671875" customWidth="1"/>
    <col min="10" max="10" width="19.60937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649</v>
      </c>
      <c r="D5" s="666"/>
      <c r="E5" s="666"/>
      <c r="F5" s="666"/>
      <c r="G5" s="667"/>
    </row>
    <row r="6" spans="1:11" ht="18" customHeight="1" x14ac:dyDescent="0.4">
      <c r="B6" s="1" t="s">
        <v>3</v>
      </c>
      <c r="C6" s="663">
        <v>210062</v>
      </c>
      <c r="D6" s="666"/>
      <c r="E6" s="666"/>
      <c r="F6" s="666"/>
      <c r="G6" s="667"/>
    </row>
    <row r="7" spans="1:11" ht="18" customHeight="1" x14ac:dyDescent="0.4">
      <c r="B7" s="1" t="s">
        <v>4</v>
      </c>
      <c r="C7" s="663" t="s">
        <v>835</v>
      </c>
      <c r="D7" s="666"/>
      <c r="E7" s="666"/>
      <c r="F7" s="666"/>
      <c r="G7" s="667"/>
    </row>
    <row r="9" spans="1:11" ht="18" customHeight="1" x14ac:dyDescent="0.4">
      <c r="B9" s="1" t="s">
        <v>1</v>
      </c>
      <c r="C9" s="663" t="s">
        <v>433</v>
      </c>
      <c r="D9" s="666"/>
      <c r="E9" s="666"/>
      <c r="F9" s="666"/>
      <c r="G9" s="667"/>
    </row>
    <row r="10" spans="1:11" ht="18" customHeight="1" x14ac:dyDescent="0.4">
      <c r="B10" s="1" t="s">
        <v>2</v>
      </c>
      <c r="C10" s="660" t="s">
        <v>434</v>
      </c>
      <c r="D10" s="661"/>
      <c r="E10" s="661"/>
      <c r="F10" s="661"/>
      <c r="G10" s="662"/>
    </row>
    <row r="11" spans="1:11" ht="18" customHeight="1" x14ac:dyDescent="0.4">
      <c r="B11" s="1" t="s">
        <v>32</v>
      </c>
      <c r="C11" s="682" t="s">
        <v>435</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19">
        <v>5092540.33</v>
      </c>
      <c r="I18" s="115">
        <v>0</v>
      </c>
      <c r="J18" s="319">
        <v>4220545.4400000004</v>
      </c>
      <c r="K18" s="351">
        <f>H18-J18</f>
        <v>871994.88999999966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3768</v>
      </c>
      <c r="G21" s="306">
        <v>11329</v>
      </c>
      <c r="H21" s="319">
        <v>129075</v>
      </c>
      <c r="I21" s="229">
        <v>6324</v>
      </c>
      <c r="J21" s="319"/>
      <c r="K21" s="351">
        <v>135399</v>
      </c>
    </row>
    <row r="22" spans="1:11" ht="18" customHeight="1" x14ac:dyDescent="0.4">
      <c r="A22" s="1" t="s">
        <v>76</v>
      </c>
      <c r="B22" t="s">
        <v>6</v>
      </c>
      <c r="F22" s="306"/>
      <c r="G22" s="306"/>
      <c r="H22" s="319"/>
      <c r="I22" s="229">
        <v>0</v>
      </c>
      <c r="J22" s="319"/>
      <c r="K22" s="351">
        <v>0</v>
      </c>
    </row>
    <row r="23" spans="1:11" ht="18" customHeight="1" x14ac:dyDescent="0.4">
      <c r="A23" s="1" t="s">
        <v>77</v>
      </c>
      <c r="B23" t="s">
        <v>43</v>
      </c>
      <c r="F23" s="306"/>
      <c r="G23" s="306"/>
      <c r="H23" s="319"/>
      <c r="I23" s="229">
        <v>0</v>
      </c>
      <c r="J23" s="319"/>
      <c r="K23" s="351">
        <v>0</v>
      </c>
    </row>
    <row r="24" spans="1:11" ht="18" customHeight="1" x14ac:dyDescent="0.4">
      <c r="A24" s="1" t="s">
        <v>78</v>
      </c>
      <c r="B24" t="s">
        <v>44</v>
      </c>
      <c r="F24" s="306">
        <v>3369</v>
      </c>
      <c r="G24" s="306">
        <v>39668</v>
      </c>
      <c r="H24" s="319">
        <v>128955</v>
      </c>
      <c r="I24" s="229">
        <v>127518</v>
      </c>
      <c r="J24" s="319"/>
      <c r="K24" s="351">
        <v>256473</v>
      </c>
    </row>
    <row r="25" spans="1:11" ht="18" customHeight="1" x14ac:dyDescent="0.4">
      <c r="A25" s="1" t="s">
        <v>79</v>
      </c>
      <c r="B25" t="s">
        <v>5</v>
      </c>
      <c r="F25" s="306"/>
      <c r="G25" s="306"/>
      <c r="H25" s="319"/>
      <c r="I25" s="229">
        <v>0</v>
      </c>
      <c r="J25" s="319"/>
      <c r="K25" s="351">
        <v>0</v>
      </c>
    </row>
    <row r="26" spans="1:11" ht="18" customHeight="1" x14ac:dyDescent="0.4">
      <c r="A26" s="1" t="s">
        <v>80</v>
      </c>
      <c r="B26" t="s">
        <v>45</v>
      </c>
      <c r="F26" s="306"/>
      <c r="G26" s="306"/>
      <c r="H26" s="319"/>
      <c r="I26" s="229">
        <v>0</v>
      </c>
      <c r="J26" s="319"/>
      <c r="K26" s="351">
        <v>0</v>
      </c>
    </row>
    <row r="27" spans="1:11" ht="18" customHeight="1" x14ac:dyDescent="0.4">
      <c r="A27" s="1" t="s">
        <v>81</v>
      </c>
      <c r="B27" t="s">
        <v>455</v>
      </c>
      <c r="F27" s="306"/>
      <c r="G27" s="306"/>
      <c r="H27" s="319"/>
      <c r="I27" s="229">
        <v>0</v>
      </c>
      <c r="J27" s="319"/>
      <c r="K27" s="351">
        <v>0</v>
      </c>
    </row>
    <row r="28" spans="1:11" ht="18" customHeight="1" x14ac:dyDescent="0.4">
      <c r="A28" s="1" t="s">
        <v>82</v>
      </c>
      <c r="B28" t="s">
        <v>47</v>
      </c>
      <c r="F28" s="306"/>
      <c r="G28" s="306"/>
      <c r="H28" s="319"/>
      <c r="I28" s="229">
        <v>0</v>
      </c>
      <c r="J28" s="319"/>
      <c r="K28" s="351">
        <v>0</v>
      </c>
    </row>
    <row r="29" spans="1:11" ht="18" customHeight="1" x14ac:dyDescent="0.4">
      <c r="A29" s="1" t="s">
        <v>83</v>
      </c>
      <c r="B29" t="s">
        <v>48</v>
      </c>
      <c r="F29" s="306">
        <v>1923</v>
      </c>
      <c r="G29" s="306">
        <v>3355</v>
      </c>
      <c r="H29" s="319">
        <v>715693</v>
      </c>
      <c r="I29" s="229">
        <v>232269</v>
      </c>
      <c r="J29" s="319"/>
      <c r="K29" s="351">
        <v>947962</v>
      </c>
    </row>
    <row r="30" spans="1:11" ht="18" customHeight="1" x14ac:dyDescent="0.4">
      <c r="A30" s="1" t="s">
        <v>84</v>
      </c>
      <c r="B30" s="630"/>
      <c r="C30" s="631"/>
      <c r="D30" s="632"/>
      <c r="F30" s="306"/>
      <c r="G30" s="306"/>
      <c r="H30" s="319"/>
      <c r="I30" s="229">
        <v>0</v>
      </c>
      <c r="J30" s="319"/>
      <c r="K30" s="351">
        <v>0</v>
      </c>
    </row>
    <row r="31" spans="1:11" ht="18" customHeight="1" x14ac:dyDescent="0.4">
      <c r="A31" s="1" t="s">
        <v>133</v>
      </c>
      <c r="B31" s="630"/>
      <c r="C31" s="631"/>
      <c r="D31" s="632"/>
      <c r="F31" s="306"/>
      <c r="G31" s="306"/>
      <c r="H31" s="319"/>
      <c r="I31" s="229">
        <v>0</v>
      </c>
      <c r="J31" s="319"/>
      <c r="K31" s="351">
        <v>0</v>
      </c>
    </row>
    <row r="32" spans="1:11" ht="18" customHeight="1" x14ac:dyDescent="0.4">
      <c r="A32" s="1" t="s">
        <v>134</v>
      </c>
      <c r="B32" s="394"/>
      <c r="C32" s="395"/>
      <c r="D32" s="396"/>
      <c r="F32" s="306"/>
      <c r="G32" s="309" t="s">
        <v>85</v>
      </c>
      <c r="H32" s="319"/>
      <c r="I32" s="229">
        <v>0</v>
      </c>
      <c r="J32" s="319"/>
      <c r="K32" s="351">
        <v>0</v>
      </c>
    </row>
    <row r="33" spans="1:11" ht="18" customHeight="1" x14ac:dyDescent="0.4">
      <c r="A33" s="1" t="s">
        <v>135</v>
      </c>
      <c r="B33" s="394"/>
      <c r="C33" s="395"/>
      <c r="D33" s="396"/>
      <c r="F33" s="306"/>
      <c r="G33" s="309" t="s">
        <v>85</v>
      </c>
      <c r="H33" s="319"/>
      <c r="I33" s="229">
        <v>0</v>
      </c>
      <c r="J33" s="319"/>
      <c r="K33" s="351">
        <v>0</v>
      </c>
    </row>
    <row r="34" spans="1:11" ht="18" customHeight="1" x14ac:dyDescent="0.4">
      <c r="A34" s="1" t="s">
        <v>136</v>
      </c>
      <c r="B34" s="630"/>
      <c r="C34" s="631"/>
      <c r="D34" s="632"/>
      <c r="F34" s="306"/>
      <c r="G34" s="309" t="s">
        <v>85</v>
      </c>
      <c r="H34" s="319"/>
      <c r="I34" s="229">
        <v>0</v>
      </c>
      <c r="J34" s="319"/>
      <c r="K34" s="351">
        <v>0</v>
      </c>
    </row>
    <row r="35" spans="1:11" ht="18" customHeight="1" x14ac:dyDescent="0.4">
      <c r="H35" s="87"/>
      <c r="I35" s="87"/>
      <c r="J35" s="87"/>
      <c r="K35" s="487"/>
    </row>
    <row r="36" spans="1:11" ht="18" customHeight="1" x14ac:dyDescent="0.4">
      <c r="A36" s="98" t="s">
        <v>137</v>
      </c>
      <c r="B36" s="95" t="s">
        <v>138</v>
      </c>
      <c r="E36" s="95" t="s">
        <v>7</v>
      </c>
      <c r="F36" s="310">
        <v>9060</v>
      </c>
      <c r="G36" s="310">
        <v>54352</v>
      </c>
      <c r="H36" s="351">
        <v>973723</v>
      </c>
      <c r="I36" s="351">
        <v>366111</v>
      </c>
      <c r="J36" s="351">
        <v>0</v>
      </c>
      <c r="K36" s="351">
        <v>1339834</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300</v>
      </c>
      <c r="G40" s="306"/>
      <c r="H40" s="319">
        <v>11425</v>
      </c>
      <c r="I40" s="229">
        <v>11356</v>
      </c>
      <c r="J40" s="319"/>
      <c r="K40" s="351">
        <v>22781</v>
      </c>
    </row>
    <row r="41" spans="1:11" ht="18" customHeight="1" x14ac:dyDescent="0.4">
      <c r="A41" s="1" t="s">
        <v>88</v>
      </c>
      <c r="B41" s="635" t="s">
        <v>50</v>
      </c>
      <c r="C41" s="636"/>
      <c r="F41" s="306"/>
      <c r="G41" s="306"/>
      <c r="H41" s="319"/>
      <c r="I41" s="229">
        <v>0</v>
      </c>
      <c r="J41" s="319"/>
      <c r="K41" s="351">
        <v>0</v>
      </c>
    </row>
    <row r="42" spans="1:11" ht="18" customHeight="1" x14ac:dyDescent="0.4">
      <c r="A42" s="1" t="s">
        <v>89</v>
      </c>
      <c r="B42" s="94" t="s">
        <v>11</v>
      </c>
      <c r="F42" s="306"/>
      <c r="G42" s="306"/>
      <c r="H42" s="319"/>
      <c r="I42" s="229">
        <v>0</v>
      </c>
      <c r="J42" s="319"/>
      <c r="K42" s="351">
        <v>0</v>
      </c>
    </row>
    <row r="43" spans="1:11" ht="18" customHeight="1" x14ac:dyDescent="0.4">
      <c r="A43" s="1" t="s">
        <v>90</v>
      </c>
      <c r="B43" s="94" t="s">
        <v>10</v>
      </c>
      <c r="F43" s="306"/>
      <c r="G43" s="306"/>
      <c r="H43" s="319"/>
      <c r="I43" s="229">
        <v>0</v>
      </c>
      <c r="J43" s="319"/>
      <c r="K43" s="351">
        <v>0</v>
      </c>
    </row>
    <row r="44" spans="1:11" ht="18" customHeight="1" x14ac:dyDescent="0.4">
      <c r="A44" s="1" t="s">
        <v>91</v>
      </c>
      <c r="B44" s="630"/>
      <c r="C44" s="631"/>
      <c r="D44" s="632"/>
      <c r="F44" s="311"/>
      <c r="G44" s="311"/>
      <c r="H44" s="348"/>
      <c r="I44" s="488">
        <v>0</v>
      </c>
      <c r="J44" s="348"/>
      <c r="K44" s="489">
        <v>0</v>
      </c>
    </row>
    <row r="45" spans="1:11" ht="18" customHeight="1" x14ac:dyDescent="0.4">
      <c r="A45" s="1" t="s">
        <v>139</v>
      </c>
      <c r="B45" s="630"/>
      <c r="C45" s="631"/>
      <c r="D45" s="632"/>
      <c r="F45" s="306"/>
      <c r="G45" s="306"/>
      <c r="H45" s="319"/>
      <c r="I45" s="229">
        <v>0</v>
      </c>
      <c r="J45" s="319"/>
      <c r="K45" s="351">
        <v>0</v>
      </c>
    </row>
    <row r="46" spans="1:11" ht="18" customHeight="1" x14ac:dyDescent="0.4">
      <c r="A46" s="1" t="s">
        <v>140</v>
      </c>
      <c r="B46" s="630"/>
      <c r="C46" s="631"/>
      <c r="D46" s="632"/>
      <c r="F46" s="306"/>
      <c r="G46" s="306"/>
      <c r="H46" s="319"/>
      <c r="I46" s="229">
        <v>0</v>
      </c>
      <c r="J46" s="319"/>
      <c r="K46" s="351">
        <v>0</v>
      </c>
    </row>
    <row r="47" spans="1:11" ht="18" customHeight="1" x14ac:dyDescent="0.4">
      <c r="A47" s="1" t="s">
        <v>141</v>
      </c>
      <c r="B47" s="630"/>
      <c r="C47" s="631"/>
      <c r="D47" s="632"/>
      <c r="F47" s="306"/>
      <c r="G47" s="306"/>
      <c r="H47" s="319"/>
      <c r="I47" s="229">
        <v>0</v>
      </c>
      <c r="J47" s="319"/>
      <c r="K47" s="351">
        <v>0</v>
      </c>
    </row>
    <row r="48" spans="1:11" ht="18" customHeight="1" x14ac:dyDescent="0.4">
      <c r="H48" s="87"/>
      <c r="I48" s="87"/>
      <c r="J48" s="87"/>
      <c r="K48" s="87"/>
    </row>
    <row r="49" spans="1:11" ht="18" customHeight="1" x14ac:dyDescent="0.4">
      <c r="A49" s="98" t="s">
        <v>142</v>
      </c>
      <c r="B49" s="95" t="s">
        <v>143</v>
      </c>
      <c r="E49" s="95" t="s">
        <v>7</v>
      </c>
      <c r="F49" s="312">
        <v>300</v>
      </c>
      <c r="G49" s="312">
        <v>0</v>
      </c>
      <c r="H49" s="351">
        <v>11425</v>
      </c>
      <c r="I49" s="351">
        <v>11356</v>
      </c>
      <c r="J49" s="351">
        <v>0</v>
      </c>
      <c r="K49" s="351">
        <v>22781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229</v>
      </c>
      <c r="C53" s="659"/>
      <c r="D53" s="654"/>
      <c r="F53" s="306"/>
      <c r="G53" s="306"/>
      <c r="H53" s="319">
        <v>8813289</v>
      </c>
      <c r="I53" s="229">
        <v>0</v>
      </c>
      <c r="J53" s="319">
        <v>3016805</v>
      </c>
      <c r="K53" s="351">
        <v>5796484</v>
      </c>
    </row>
    <row r="54" spans="1:11" ht="18" customHeight="1" x14ac:dyDescent="0.4">
      <c r="A54" s="1" t="s">
        <v>93</v>
      </c>
      <c r="B54" s="400" t="s">
        <v>520</v>
      </c>
      <c r="C54" s="401"/>
      <c r="D54" s="402"/>
      <c r="F54" s="306"/>
      <c r="G54" s="306"/>
      <c r="H54" s="319">
        <v>870967</v>
      </c>
      <c r="I54" s="229">
        <v>0</v>
      </c>
      <c r="J54" s="319"/>
      <c r="K54" s="351">
        <v>870967</v>
      </c>
    </row>
    <row r="55" spans="1:11" ht="18" customHeight="1" x14ac:dyDescent="0.4">
      <c r="A55" s="1" t="s">
        <v>94</v>
      </c>
      <c r="B55" s="655" t="s">
        <v>296</v>
      </c>
      <c r="C55" s="653"/>
      <c r="D55" s="654"/>
      <c r="F55" s="306"/>
      <c r="G55" s="306"/>
      <c r="H55" s="319"/>
      <c r="I55" s="229">
        <v>0</v>
      </c>
      <c r="J55" s="319"/>
      <c r="K55" s="351">
        <v>0</v>
      </c>
    </row>
    <row r="56" spans="1:11" ht="18" customHeight="1" x14ac:dyDescent="0.4">
      <c r="A56" s="1" t="s">
        <v>95</v>
      </c>
      <c r="B56" s="655"/>
      <c r="C56" s="653"/>
      <c r="D56" s="654"/>
      <c r="F56" s="306"/>
      <c r="G56" s="306"/>
      <c r="H56" s="319"/>
      <c r="I56" s="229">
        <v>0</v>
      </c>
      <c r="J56" s="319"/>
      <c r="K56" s="351">
        <v>0</v>
      </c>
    </row>
    <row r="57" spans="1:11" ht="18" customHeight="1" x14ac:dyDescent="0.4">
      <c r="A57" s="1" t="s">
        <v>96</v>
      </c>
      <c r="B57" s="655" t="s">
        <v>297</v>
      </c>
      <c r="C57" s="653"/>
      <c r="D57" s="654"/>
      <c r="F57" s="306"/>
      <c r="G57" s="306"/>
      <c r="H57" s="319">
        <v>1390496</v>
      </c>
      <c r="I57" s="229">
        <v>0</v>
      </c>
      <c r="J57" s="319">
        <v>300</v>
      </c>
      <c r="K57" s="351">
        <v>1390196</v>
      </c>
    </row>
    <row r="58" spans="1:11" ht="18" customHeight="1" x14ac:dyDescent="0.4">
      <c r="A58" s="1" t="s">
        <v>97</v>
      </c>
      <c r="B58" s="400"/>
      <c r="C58" s="401"/>
      <c r="D58" s="402"/>
      <c r="F58" s="306"/>
      <c r="G58" s="306"/>
      <c r="H58" s="319"/>
      <c r="I58" s="229">
        <v>0</v>
      </c>
      <c r="J58" s="319"/>
      <c r="K58" s="351">
        <v>0</v>
      </c>
    </row>
    <row r="59" spans="1:11" ht="18" customHeight="1" x14ac:dyDescent="0.4">
      <c r="A59" s="1" t="s">
        <v>98</v>
      </c>
      <c r="B59" s="655"/>
      <c r="C59" s="653"/>
      <c r="D59" s="654"/>
      <c r="F59" s="306"/>
      <c r="G59" s="306"/>
      <c r="H59" s="319"/>
      <c r="I59" s="229">
        <v>0</v>
      </c>
      <c r="J59" s="319"/>
      <c r="K59" s="351">
        <v>0</v>
      </c>
    </row>
    <row r="60" spans="1:11" ht="18" customHeight="1" x14ac:dyDescent="0.4">
      <c r="A60" s="1" t="s">
        <v>99</v>
      </c>
      <c r="B60" s="400" t="s">
        <v>521</v>
      </c>
      <c r="C60" s="401"/>
      <c r="D60" s="402"/>
      <c r="F60" s="306"/>
      <c r="G60" s="306"/>
      <c r="H60" s="319">
        <v>653900</v>
      </c>
      <c r="I60" s="229">
        <v>0</v>
      </c>
      <c r="J60" s="319"/>
      <c r="K60" s="351">
        <v>653900</v>
      </c>
    </row>
    <row r="61" spans="1:11" ht="18" customHeight="1" x14ac:dyDescent="0.4">
      <c r="A61" s="1" t="s">
        <v>100</v>
      </c>
      <c r="B61" s="400"/>
      <c r="C61" s="401"/>
      <c r="D61" s="402"/>
      <c r="F61" s="306"/>
      <c r="G61" s="306"/>
      <c r="H61" s="319"/>
      <c r="I61" s="229">
        <v>0</v>
      </c>
      <c r="J61" s="319"/>
      <c r="K61" s="351">
        <v>0</v>
      </c>
    </row>
    <row r="62" spans="1:11" ht="18" customHeight="1" x14ac:dyDescent="0.4">
      <c r="A62" s="1" t="s">
        <v>101</v>
      </c>
      <c r="B62" s="655"/>
      <c r="C62" s="653"/>
      <c r="D62" s="654"/>
      <c r="F62" s="306"/>
      <c r="G62" s="306"/>
      <c r="H62" s="319"/>
      <c r="I62" s="229">
        <v>0</v>
      </c>
      <c r="J62" s="319"/>
      <c r="K62" s="351">
        <v>0</v>
      </c>
    </row>
    <row r="63" spans="1:11" ht="18" customHeight="1" x14ac:dyDescent="0.4">
      <c r="A63" s="1"/>
      <c r="H63" s="87"/>
      <c r="I63" s="490"/>
      <c r="J63" s="87"/>
      <c r="K63" s="87"/>
    </row>
    <row r="64" spans="1:11" ht="18" customHeight="1" x14ac:dyDescent="0.4">
      <c r="A64" s="1" t="s">
        <v>144</v>
      </c>
      <c r="B64" s="95" t="s">
        <v>145</v>
      </c>
      <c r="E64" s="95" t="s">
        <v>7</v>
      </c>
      <c r="F64" s="310">
        <v>0</v>
      </c>
      <c r="G64" s="310">
        <v>0</v>
      </c>
      <c r="H64" s="351">
        <v>11728652</v>
      </c>
      <c r="I64" s="351">
        <v>0</v>
      </c>
      <c r="J64" s="351">
        <v>3017105</v>
      </c>
      <c r="K64" s="351">
        <v>8711547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v>0</v>
      </c>
    </row>
    <row r="69" spans="1:11" ht="18" customHeight="1" x14ac:dyDescent="0.4">
      <c r="A69" s="1" t="s">
        <v>104</v>
      </c>
      <c r="B69" s="94" t="s">
        <v>53</v>
      </c>
      <c r="F69" s="313"/>
      <c r="G69" s="313"/>
      <c r="H69" s="313"/>
      <c r="I69" s="115">
        <v>0</v>
      </c>
      <c r="J69" s="313"/>
      <c r="K69" s="308">
        <v>0</v>
      </c>
    </row>
    <row r="70" spans="1:11" ht="18" customHeight="1" x14ac:dyDescent="0.4">
      <c r="A70" s="1" t="s">
        <v>178</v>
      </c>
      <c r="B70" s="400"/>
      <c r="C70" s="401"/>
      <c r="D70" s="402"/>
      <c r="E70" s="95"/>
      <c r="F70" s="104"/>
      <c r="G70" s="104"/>
      <c r="H70" s="105"/>
      <c r="I70" s="115">
        <v>0</v>
      </c>
      <c r="J70" s="105"/>
      <c r="K70" s="308">
        <v>0</v>
      </c>
    </row>
    <row r="71" spans="1:11" ht="18" customHeight="1" x14ac:dyDescent="0.4">
      <c r="A71" s="1" t="s">
        <v>179</v>
      </c>
      <c r="B71" s="400"/>
      <c r="C71" s="401"/>
      <c r="D71" s="402"/>
      <c r="E71" s="95"/>
      <c r="F71" s="104"/>
      <c r="G71" s="104"/>
      <c r="H71" s="105"/>
      <c r="I71" s="115">
        <v>0</v>
      </c>
      <c r="J71" s="105"/>
      <c r="K71" s="308">
        <v>0</v>
      </c>
    </row>
    <row r="72" spans="1:11" ht="18" customHeight="1" x14ac:dyDescent="0.4">
      <c r="A72" s="1" t="s">
        <v>180</v>
      </c>
      <c r="B72" s="406"/>
      <c r="C72" s="407"/>
      <c r="D72" s="408"/>
      <c r="E72" s="95"/>
      <c r="F72" s="306"/>
      <c r="G72" s="306"/>
      <c r="H72" s="307"/>
      <c r="I72" s="115">
        <v>0</v>
      </c>
      <c r="J72" s="307"/>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0</v>
      </c>
      <c r="G74" s="411">
        <v>0</v>
      </c>
      <c r="H74" s="411">
        <v>0</v>
      </c>
      <c r="I74" s="412">
        <v>0</v>
      </c>
      <c r="J74" s="411">
        <v>0</v>
      </c>
      <c r="K74" s="30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19">
        <v>19640</v>
      </c>
      <c r="I77" s="229">
        <v>0</v>
      </c>
      <c r="J77" s="319"/>
      <c r="K77" s="351">
        <v>19640</v>
      </c>
    </row>
    <row r="78" spans="1:11" ht="18" customHeight="1" x14ac:dyDescent="0.4">
      <c r="A78" s="1" t="s">
        <v>108</v>
      </c>
      <c r="B78" s="94" t="s">
        <v>55</v>
      </c>
      <c r="F78" s="306"/>
      <c r="G78" s="306"/>
      <c r="H78" s="319"/>
      <c r="I78" s="229">
        <v>0</v>
      </c>
      <c r="J78" s="319"/>
      <c r="K78" s="351">
        <v>0</v>
      </c>
    </row>
    <row r="79" spans="1:11" ht="18" customHeight="1" x14ac:dyDescent="0.4">
      <c r="A79" s="1" t="s">
        <v>109</v>
      </c>
      <c r="B79" s="94" t="s">
        <v>13</v>
      </c>
      <c r="F79" s="306"/>
      <c r="G79" s="306"/>
      <c r="H79" s="319"/>
      <c r="I79" s="229">
        <v>0</v>
      </c>
      <c r="J79" s="319"/>
      <c r="K79" s="351">
        <v>0</v>
      </c>
    </row>
    <row r="80" spans="1:11" ht="18" customHeight="1" x14ac:dyDescent="0.4">
      <c r="A80" s="1" t="s">
        <v>110</v>
      </c>
      <c r="B80" s="94" t="s">
        <v>56</v>
      </c>
      <c r="F80" s="306"/>
      <c r="G80" s="306"/>
      <c r="H80" s="319"/>
      <c r="I80" s="229">
        <v>0</v>
      </c>
      <c r="J80" s="319"/>
      <c r="K80" s="351">
        <v>0</v>
      </c>
    </row>
    <row r="81" spans="1:11" ht="18" customHeight="1" x14ac:dyDescent="0.4">
      <c r="A81" s="1"/>
      <c r="H81" s="87"/>
      <c r="I81" s="87"/>
      <c r="J81" s="87"/>
      <c r="K81" s="373"/>
    </row>
    <row r="82" spans="1:11" ht="18" customHeight="1" x14ac:dyDescent="0.4">
      <c r="A82" s="1" t="s">
        <v>148</v>
      </c>
      <c r="B82" s="95" t="s">
        <v>149</v>
      </c>
      <c r="E82" s="95" t="s">
        <v>7</v>
      </c>
      <c r="F82" s="411">
        <v>0</v>
      </c>
      <c r="G82" s="411">
        <v>0</v>
      </c>
      <c r="H82" s="351">
        <v>19640</v>
      </c>
      <c r="I82" s="351">
        <v>0</v>
      </c>
      <c r="J82" s="351">
        <v>0</v>
      </c>
      <c r="K82" s="351">
        <v>19640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19"/>
      <c r="I86" s="229">
        <v>0</v>
      </c>
      <c r="J86" s="319"/>
      <c r="K86" s="351">
        <v>0</v>
      </c>
    </row>
    <row r="87" spans="1:11" ht="18" customHeight="1" x14ac:dyDescent="0.4">
      <c r="A87" s="1" t="s">
        <v>114</v>
      </c>
      <c r="B87" s="94" t="s">
        <v>14</v>
      </c>
      <c r="F87" s="306"/>
      <c r="G87" s="306"/>
      <c r="H87" s="319"/>
      <c r="I87" s="229">
        <v>0</v>
      </c>
      <c r="J87" s="319"/>
      <c r="K87" s="351">
        <v>0</v>
      </c>
    </row>
    <row r="88" spans="1:11" ht="18" customHeight="1" x14ac:dyDescent="0.4">
      <c r="A88" s="1" t="s">
        <v>115</v>
      </c>
      <c r="B88" s="94" t="s">
        <v>116</v>
      </c>
      <c r="F88" s="306">
        <v>32</v>
      </c>
      <c r="G88" s="306">
        <v>1458</v>
      </c>
      <c r="H88" s="319">
        <v>1219</v>
      </c>
      <c r="I88" s="229">
        <v>0</v>
      </c>
      <c r="J88" s="319"/>
      <c r="K88" s="351">
        <v>1219</v>
      </c>
    </row>
    <row r="89" spans="1:11" ht="18" customHeight="1" x14ac:dyDescent="0.4">
      <c r="A89" s="1" t="s">
        <v>117</v>
      </c>
      <c r="B89" s="94" t="s">
        <v>58</v>
      </c>
      <c r="F89" s="306"/>
      <c r="G89" s="306"/>
      <c r="H89" s="319"/>
      <c r="I89" s="229">
        <v>0</v>
      </c>
      <c r="J89" s="319"/>
      <c r="K89" s="351">
        <v>0</v>
      </c>
    </row>
    <row r="90" spans="1:11" ht="18" customHeight="1" x14ac:dyDescent="0.4">
      <c r="A90" s="1" t="s">
        <v>118</v>
      </c>
      <c r="B90" s="635" t="s">
        <v>59</v>
      </c>
      <c r="C90" s="636"/>
      <c r="F90" s="306"/>
      <c r="G90" s="306"/>
      <c r="H90" s="319"/>
      <c r="I90" s="229">
        <v>0</v>
      </c>
      <c r="J90" s="319"/>
      <c r="K90" s="351">
        <v>0</v>
      </c>
    </row>
    <row r="91" spans="1:11" ht="18" customHeight="1" x14ac:dyDescent="0.4">
      <c r="A91" s="1" t="s">
        <v>119</v>
      </c>
      <c r="B91" s="94" t="s">
        <v>60</v>
      </c>
      <c r="F91" s="306">
        <v>34</v>
      </c>
      <c r="G91" s="306">
        <v>350</v>
      </c>
      <c r="H91" s="319">
        <v>2819</v>
      </c>
      <c r="I91" s="229">
        <v>2802</v>
      </c>
      <c r="J91" s="319"/>
      <c r="K91" s="351">
        <v>5621</v>
      </c>
    </row>
    <row r="92" spans="1:11" ht="18" customHeight="1" x14ac:dyDescent="0.4">
      <c r="A92" s="1" t="s">
        <v>120</v>
      </c>
      <c r="B92" s="94" t="s">
        <v>121</v>
      </c>
      <c r="F92" s="107"/>
      <c r="G92" s="107"/>
      <c r="H92" s="491">
        <v>26386</v>
      </c>
      <c r="I92" s="229">
        <v>0</v>
      </c>
      <c r="J92" s="491"/>
      <c r="K92" s="351">
        <v>26386</v>
      </c>
    </row>
    <row r="93" spans="1:11" ht="18" customHeight="1" x14ac:dyDescent="0.4">
      <c r="A93" s="1" t="s">
        <v>122</v>
      </c>
      <c r="B93" s="94" t="s">
        <v>123</v>
      </c>
      <c r="F93" s="306">
        <v>4177</v>
      </c>
      <c r="G93" s="306">
        <v>541</v>
      </c>
      <c r="H93" s="319">
        <v>159078</v>
      </c>
      <c r="I93" s="229">
        <v>158124</v>
      </c>
      <c r="J93" s="319"/>
      <c r="K93" s="351">
        <v>317202</v>
      </c>
    </row>
    <row r="94" spans="1:11" ht="18" customHeight="1" x14ac:dyDescent="0.4">
      <c r="A94" s="1" t="s">
        <v>124</v>
      </c>
      <c r="B94" s="655"/>
      <c r="C94" s="653"/>
      <c r="D94" s="654"/>
      <c r="F94" s="306"/>
      <c r="G94" s="306"/>
      <c r="H94" s="319"/>
      <c r="I94" s="229">
        <v>0</v>
      </c>
      <c r="J94" s="319"/>
      <c r="K94" s="351">
        <v>0</v>
      </c>
    </row>
    <row r="95" spans="1:11" ht="18" customHeight="1" x14ac:dyDescent="0.4">
      <c r="A95" s="1" t="s">
        <v>125</v>
      </c>
      <c r="B95" s="655"/>
      <c r="C95" s="653"/>
      <c r="D95" s="654"/>
      <c r="F95" s="306"/>
      <c r="G95" s="306"/>
      <c r="H95" s="319"/>
      <c r="I95" s="229">
        <v>0</v>
      </c>
      <c r="J95" s="319"/>
      <c r="K95" s="351">
        <v>0</v>
      </c>
    </row>
    <row r="96" spans="1:11" ht="18" customHeight="1" x14ac:dyDescent="0.4">
      <c r="A96" s="1" t="s">
        <v>126</v>
      </c>
      <c r="B96" s="655"/>
      <c r="C96" s="653"/>
      <c r="D96" s="654"/>
      <c r="F96" s="306"/>
      <c r="G96" s="306"/>
      <c r="H96" s="319"/>
      <c r="I96" s="229">
        <v>0</v>
      </c>
      <c r="J96" s="319"/>
      <c r="K96" s="351">
        <v>0</v>
      </c>
    </row>
    <row r="97" spans="1:11" ht="18" customHeight="1" x14ac:dyDescent="0.4">
      <c r="A97" s="1"/>
      <c r="B97" s="94"/>
    </row>
    <row r="98" spans="1:11" ht="18" customHeight="1" x14ac:dyDescent="0.4">
      <c r="A98" s="98" t="s">
        <v>150</v>
      </c>
      <c r="B98" s="95" t="s">
        <v>151</v>
      </c>
      <c r="E98" s="95" t="s">
        <v>7</v>
      </c>
      <c r="F98" s="310">
        <v>4243</v>
      </c>
      <c r="G98" s="310">
        <v>2349</v>
      </c>
      <c r="H98" s="310">
        <v>189502</v>
      </c>
      <c r="I98" s="310">
        <v>160926</v>
      </c>
      <c r="J98" s="310">
        <v>0</v>
      </c>
      <c r="K98" s="310">
        <v>350428</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1360</v>
      </c>
      <c r="G102" s="306"/>
      <c r="H102" s="319">
        <v>93030</v>
      </c>
      <c r="I102" s="229">
        <v>92472</v>
      </c>
      <c r="J102" s="319"/>
      <c r="K102" s="351">
        <v>185502</v>
      </c>
    </row>
    <row r="103" spans="1:11" ht="18" customHeight="1" x14ac:dyDescent="0.4">
      <c r="A103" s="1" t="s">
        <v>132</v>
      </c>
      <c r="B103" s="635" t="s">
        <v>62</v>
      </c>
      <c r="C103" s="635"/>
      <c r="F103" s="306"/>
      <c r="G103" s="306"/>
      <c r="H103" s="319"/>
      <c r="I103" s="229">
        <v>0</v>
      </c>
      <c r="J103" s="319"/>
      <c r="K103" s="351">
        <v>0</v>
      </c>
    </row>
    <row r="104" spans="1:11" ht="18" customHeight="1" x14ac:dyDescent="0.4">
      <c r="A104" s="1" t="s">
        <v>128</v>
      </c>
      <c r="B104" s="655" t="s">
        <v>298</v>
      </c>
      <c r="C104" s="653"/>
      <c r="D104" s="654"/>
      <c r="F104" s="306"/>
      <c r="G104" s="306"/>
      <c r="H104" s="319">
        <v>112593</v>
      </c>
      <c r="I104" s="229">
        <v>0</v>
      </c>
      <c r="J104" s="319"/>
      <c r="K104" s="351">
        <v>112593</v>
      </c>
    </row>
    <row r="105" spans="1:11" ht="18" customHeight="1" x14ac:dyDescent="0.4">
      <c r="A105" s="1" t="s">
        <v>127</v>
      </c>
      <c r="B105" s="655"/>
      <c r="C105" s="653"/>
      <c r="D105" s="654"/>
      <c r="F105" s="306"/>
      <c r="G105" s="306"/>
      <c r="H105" s="319"/>
      <c r="I105" s="229">
        <v>0</v>
      </c>
      <c r="J105" s="319"/>
      <c r="K105" s="351">
        <v>0</v>
      </c>
    </row>
    <row r="106" spans="1:11" ht="18" customHeight="1" x14ac:dyDescent="0.4">
      <c r="A106" s="1" t="s">
        <v>129</v>
      </c>
      <c r="B106" s="655"/>
      <c r="C106" s="653"/>
      <c r="D106" s="654"/>
      <c r="F106" s="306"/>
      <c r="G106" s="306"/>
      <c r="H106" s="319"/>
      <c r="I106" s="229">
        <v>0</v>
      </c>
      <c r="J106" s="319"/>
      <c r="K106" s="351">
        <v>0</v>
      </c>
    </row>
    <row r="107" spans="1:11" ht="18" customHeight="1" x14ac:dyDescent="0.4">
      <c r="B107" s="95"/>
      <c r="H107" s="87"/>
      <c r="I107" s="87"/>
      <c r="J107" s="87"/>
      <c r="K107" s="87"/>
    </row>
    <row r="108" spans="1:11" ht="18" customHeight="1" x14ac:dyDescent="0.4">
      <c r="A108" s="98" t="s">
        <v>153</v>
      </c>
      <c r="B108" s="95" t="s">
        <v>154</v>
      </c>
      <c r="E108" s="95" t="s">
        <v>7</v>
      </c>
      <c r="F108" s="310">
        <v>1360</v>
      </c>
      <c r="G108" s="310">
        <v>0</v>
      </c>
      <c r="H108" s="351">
        <v>205623</v>
      </c>
      <c r="I108" s="351">
        <v>92472</v>
      </c>
      <c r="J108" s="351">
        <v>0</v>
      </c>
      <c r="K108" s="351">
        <v>298095</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19">
        <v>5442147</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0.99399999999999999</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19">
        <v>244929793.91999999</v>
      </c>
    </row>
    <row r="118" spans="1:6" ht="18" customHeight="1" x14ac:dyDescent="0.4">
      <c r="A118" s="1" t="s">
        <v>173</v>
      </c>
      <c r="B118" t="s">
        <v>18</v>
      </c>
      <c r="F118" s="319">
        <v>7179365.54</v>
      </c>
    </row>
    <row r="119" spans="1:6" ht="18" customHeight="1" x14ac:dyDescent="0.4">
      <c r="A119" s="1" t="s">
        <v>174</v>
      </c>
      <c r="B119" s="95" t="s">
        <v>19</v>
      </c>
      <c r="F119" s="351">
        <v>252109159.45999998</v>
      </c>
    </row>
    <row r="120" spans="1:6" ht="18" customHeight="1" x14ac:dyDescent="0.4">
      <c r="A120" s="1"/>
      <c r="B120" s="95"/>
      <c r="F120" s="87"/>
    </row>
    <row r="121" spans="1:6" ht="18" customHeight="1" x14ac:dyDescent="0.4">
      <c r="A121" s="1" t="s">
        <v>167</v>
      </c>
      <c r="B121" s="95" t="s">
        <v>36</v>
      </c>
      <c r="F121" s="319">
        <v>240415418</v>
      </c>
    </row>
    <row r="122" spans="1:6" ht="18" customHeight="1" x14ac:dyDescent="0.4">
      <c r="A122" s="1"/>
      <c r="F122" s="87"/>
    </row>
    <row r="123" spans="1:6" ht="18" customHeight="1" x14ac:dyDescent="0.4">
      <c r="A123" s="1" t="s">
        <v>175</v>
      </c>
      <c r="B123" s="95" t="s">
        <v>20</v>
      </c>
      <c r="F123" s="319">
        <v>11693741.459999979</v>
      </c>
    </row>
    <row r="124" spans="1:6" ht="18" customHeight="1" x14ac:dyDescent="0.4">
      <c r="A124" s="1"/>
      <c r="F124" s="87"/>
    </row>
    <row r="125" spans="1:6" ht="18" customHeight="1" x14ac:dyDescent="0.4">
      <c r="A125" s="1" t="s">
        <v>176</v>
      </c>
      <c r="B125" s="95" t="s">
        <v>21</v>
      </c>
      <c r="F125" s="319">
        <v>131205</v>
      </c>
    </row>
    <row r="126" spans="1:6" ht="18" customHeight="1" x14ac:dyDescent="0.4">
      <c r="A126" s="1"/>
      <c r="F126" s="87"/>
    </row>
    <row r="127" spans="1:6" ht="18" customHeight="1" x14ac:dyDescent="0.4">
      <c r="A127" s="1" t="s">
        <v>177</v>
      </c>
      <c r="B127" s="95" t="s">
        <v>22</v>
      </c>
      <c r="F127" s="319">
        <v>11824946.459999979</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v>9060</v>
      </c>
      <c r="G141" s="109">
        <v>54352</v>
      </c>
      <c r="H141" s="109">
        <v>973723</v>
      </c>
      <c r="I141" s="109">
        <v>366111</v>
      </c>
      <c r="J141" s="109">
        <v>0</v>
      </c>
      <c r="K141" s="109">
        <v>1339834</v>
      </c>
    </row>
    <row r="142" spans="1:11" ht="18" customHeight="1" x14ac:dyDescent="0.4">
      <c r="A142" s="1" t="s">
        <v>142</v>
      </c>
      <c r="B142" s="95" t="s">
        <v>65</v>
      </c>
      <c r="F142" s="109">
        <v>300</v>
      </c>
      <c r="G142" s="109">
        <v>0</v>
      </c>
      <c r="H142" s="109">
        <v>11425</v>
      </c>
      <c r="I142" s="109">
        <v>11356</v>
      </c>
      <c r="J142" s="109">
        <v>0</v>
      </c>
      <c r="K142" s="109">
        <v>22781</v>
      </c>
    </row>
    <row r="143" spans="1:11" ht="18" customHeight="1" x14ac:dyDescent="0.4">
      <c r="A143" s="1" t="s">
        <v>144</v>
      </c>
      <c r="B143" s="95" t="s">
        <v>66</v>
      </c>
      <c r="F143" s="109">
        <v>0</v>
      </c>
      <c r="G143" s="109">
        <v>0</v>
      </c>
      <c r="H143" s="109">
        <v>11728652</v>
      </c>
      <c r="I143" s="109">
        <v>0</v>
      </c>
      <c r="J143" s="109">
        <v>3017105</v>
      </c>
      <c r="K143" s="109">
        <v>8711547</v>
      </c>
    </row>
    <row r="144" spans="1:11" ht="18" customHeight="1" x14ac:dyDescent="0.4">
      <c r="A144" s="1" t="s">
        <v>146</v>
      </c>
      <c r="B144" s="95" t="s">
        <v>67</v>
      </c>
      <c r="F144" s="109">
        <v>0</v>
      </c>
      <c r="G144" s="109">
        <v>0</v>
      </c>
      <c r="H144" s="109">
        <v>0</v>
      </c>
      <c r="I144" s="109">
        <v>0</v>
      </c>
      <c r="J144" s="109">
        <v>0</v>
      </c>
      <c r="K144" s="109">
        <v>0</v>
      </c>
    </row>
    <row r="145" spans="1:11" ht="18" customHeight="1" x14ac:dyDescent="0.4">
      <c r="A145" s="1" t="s">
        <v>148</v>
      </c>
      <c r="B145" s="95" t="s">
        <v>68</v>
      </c>
      <c r="F145" s="109">
        <v>0</v>
      </c>
      <c r="G145" s="109">
        <v>0</v>
      </c>
      <c r="H145" s="109">
        <v>19640</v>
      </c>
      <c r="I145" s="109">
        <v>0</v>
      </c>
      <c r="J145" s="109">
        <v>0</v>
      </c>
      <c r="K145" s="109">
        <v>19640</v>
      </c>
    </row>
    <row r="146" spans="1:11" ht="18" customHeight="1" x14ac:dyDescent="0.4">
      <c r="A146" s="1" t="s">
        <v>150</v>
      </c>
      <c r="B146" s="95" t="s">
        <v>69</v>
      </c>
      <c r="F146" s="109">
        <v>4243</v>
      </c>
      <c r="G146" s="109">
        <v>2349</v>
      </c>
      <c r="H146" s="109">
        <v>189502</v>
      </c>
      <c r="I146" s="109">
        <v>160926</v>
      </c>
      <c r="J146" s="109">
        <v>0</v>
      </c>
      <c r="K146" s="109">
        <v>350428</v>
      </c>
    </row>
    <row r="147" spans="1:11" ht="18" customHeight="1" x14ac:dyDescent="0.4">
      <c r="A147" s="1" t="s">
        <v>153</v>
      </c>
      <c r="B147" s="95" t="s">
        <v>61</v>
      </c>
      <c r="F147" s="310">
        <v>1360</v>
      </c>
      <c r="G147" s="310">
        <v>0</v>
      </c>
      <c r="H147" s="310">
        <v>205623</v>
      </c>
      <c r="I147" s="310">
        <v>92472</v>
      </c>
      <c r="J147" s="310">
        <v>0</v>
      </c>
      <c r="K147" s="310">
        <v>298095</v>
      </c>
    </row>
    <row r="148" spans="1:11" ht="18" customHeight="1" x14ac:dyDescent="0.4">
      <c r="A148" s="1" t="s">
        <v>155</v>
      </c>
      <c r="B148" s="95" t="s">
        <v>70</v>
      </c>
      <c r="F148" s="110" t="s">
        <v>73</v>
      </c>
      <c r="G148" s="110" t="s">
        <v>73</v>
      </c>
      <c r="H148" s="111" t="s">
        <v>73</v>
      </c>
      <c r="I148" s="111" t="s">
        <v>73</v>
      </c>
      <c r="J148" s="111" t="s">
        <v>73</v>
      </c>
      <c r="K148" s="217">
        <v>5442147</v>
      </c>
    </row>
    <row r="149" spans="1:11" ht="18" customHeight="1" x14ac:dyDescent="0.4">
      <c r="A149" s="1" t="s">
        <v>163</v>
      </c>
      <c r="B149" s="95" t="s">
        <v>71</v>
      </c>
      <c r="F149" s="310">
        <v>0</v>
      </c>
      <c r="G149" s="310">
        <v>0</v>
      </c>
      <c r="H149" s="310">
        <v>0</v>
      </c>
      <c r="I149" s="310">
        <v>0</v>
      </c>
      <c r="J149" s="310">
        <v>0</v>
      </c>
      <c r="K149" s="310">
        <v>0</v>
      </c>
    </row>
    <row r="150" spans="1:11" ht="18" customHeight="1" x14ac:dyDescent="0.4">
      <c r="A150" s="1" t="s">
        <v>185</v>
      </c>
      <c r="B150" s="95" t="s">
        <v>186</v>
      </c>
      <c r="F150" s="110" t="s">
        <v>73</v>
      </c>
      <c r="G150" s="110" t="s">
        <v>73</v>
      </c>
      <c r="H150" s="319">
        <v>5092540.33</v>
      </c>
      <c r="I150" s="115">
        <v>0</v>
      </c>
      <c r="J150" s="319">
        <v>4220545.4400000004</v>
      </c>
      <c r="K150" s="351">
        <f>H150-J150</f>
        <v>871994.88999999966</v>
      </c>
    </row>
    <row r="151" spans="1:11" ht="18" customHeight="1" x14ac:dyDescent="0.4">
      <c r="B151" s="95"/>
      <c r="F151" s="113"/>
      <c r="G151" s="113"/>
      <c r="H151" s="113"/>
      <c r="I151" s="113"/>
      <c r="J151" s="113"/>
      <c r="K151" s="113"/>
    </row>
    <row r="152" spans="1:11" ht="18" customHeight="1" x14ac:dyDescent="0.4">
      <c r="A152" s="98" t="s">
        <v>165</v>
      </c>
      <c r="B152" s="95" t="s">
        <v>26</v>
      </c>
      <c r="F152" s="114">
        <v>14963</v>
      </c>
      <c r="G152" s="114">
        <v>56701</v>
      </c>
      <c r="H152" s="114">
        <f>SUM(H141:H150)</f>
        <v>18221105.329999998</v>
      </c>
      <c r="I152" s="114">
        <f t="shared" ref="I152:K152" si="0">SUM(I141:I150)</f>
        <v>630865</v>
      </c>
      <c r="J152" s="114">
        <f t="shared" si="0"/>
        <v>7237650.4400000004</v>
      </c>
      <c r="K152" s="114">
        <f t="shared" si="0"/>
        <v>17056466.890000001</v>
      </c>
    </row>
    <row r="154" spans="1:11" ht="18" customHeight="1" x14ac:dyDescent="0.4">
      <c r="A154" s="98" t="s">
        <v>168</v>
      </c>
      <c r="B154" s="95" t="s">
        <v>28</v>
      </c>
      <c r="F154" s="318">
        <v>7.1084115412265281E-2</v>
      </c>
    </row>
    <row r="155" spans="1:11" ht="18" customHeight="1" x14ac:dyDescent="0.4">
      <c r="A155" s="98" t="s">
        <v>169</v>
      </c>
      <c r="B155" s="95" t="s">
        <v>72</v>
      </c>
      <c r="F155" s="318">
        <v>1.4452257672209394</v>
      </c>
      <c r="G155" s="95"/>
    </row>
    <row r="156" spans="1:11" ht="18" customHeight="1" x14ac:dyDescent="0.4">
      <c r="G156" s="95"/>
      <c r="H156" s="189"/>
    </row>
  </sheetData>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xr:uid="{79123080-2D14-4266-9F5A-83FD407ECEB7}"/>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3">
    <tabColor theme="0"/>
    <pageSetUpPr fitToPage="1"/>
  </sheetPr>
  <dimension ref="A1:K156"/>
  <sheetViews>
    <sheetView topLeftCell="A133" zoomScale="85" zoomScaleNormal="85" workbookViewId="0">
      <selection activeCell="H154" sqref="H154"/>
    </sheetView>
  </sheetViews>
  <sheetFormatPr defaultColWidth="8.71875" defaultRowHeight="12.3"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4" spans="1:11" ht="18" customHeight="1" x14ac:dyDescent="0.4"/>
    <row r="5" spans="1:11" ht="18" customHeight="1" x14ac:dyDescent="0.4">
      <c r="B5" s="1" t="s">
        <v>40</v>
      </c>
      <c r="C5" s="663" t="s">
        <v>327</v>
      </c>
      <c r="D5" s="666"/>
      <c r="E5" s="666"/>
      <c r="F5" s="666"/>
      <c r="G5" s="667"/>
    </row>
    <row r="6" spans="1:11" ht="18" customHeight="1" x14ac:dyDescent="0.4">
      <c r="B6" s="1" t="s">
        <v>3</v>
      </c>
      <c r="C6" s="668" t="s">
        <v>836</v>
      </c>
      <c r="D6" s="669"/>
      <c r="E6" s="669"/>
      <c r="F6" s="669"/>
      <c r="G6" s="670"/>
    </row>
    <row r="7" spans="1:11" ht="18" customHeight="1" x14ac:dyDescent="0.4">
      <c r="B7" s="1" t="s">
        <v>4</v>
      </c>
      <c r="C7" s="671">
        <v>2041</v>
      </c>
      <c r="D7" s="672"/>
      <c r="E7" s="672"/>
      <c r="F7" s="672"/>
      <c r="G7" s="673"/>
    </row>
    <row r="8" spans="1:11" ht="18" customHeight="1" x14ac:dyDescent="0.4"/>
    <row r="9" spans="1:11" ht="18" customHeight="1" x14ac:dyDescent="0.4">
      <c r="B9" s="1" t="s">
        <v>1</v>
      </c>
      <c r="C9" s="731" t="s">
        <v>837</v>
      </c>
      <c r="D9" s="666"/>
      <c r="E9" s="666"/>
      <c r="F9" s="666"/>
      <c r="G9" s="667"/>
    </row>
    <row r="10" spans="1:11" ht="18" customHeight="1" x14ac:dyDescent="0.4">
      <c r="B10" s="1" t="s">
        <v>2</v>
      </c>
      <c r="C10" s="733" t="s">
        <v>650</v>
      </c>
      <c r="D10" s="661"/>
      <c r="E10" s="661"/>
      <c r="F10" s="661"/>
      <c r="G10" s="662"/>
    </row>
    <row r="11" spans="1:11" ht="18" customHeight="1" x14ac:dyDescent="0.4">
      <c r="B11" s="1" t="s">
        <v>32</v>
      </c>
      <c r="C11" s="682" t="s">
        <v>838</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7404289.4500000002</v>
      </c>
      <c r="I18" s="115">
        <v>0</v>
      </c>
      <c r="J18" s="307">
        <v>6136454.1100000003</v>
      </c>
      <c r="K18" s="308">
        <f>H18-I18-J18</f>
        <v>1267835.3399999999</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1122</v>
      </c>
      <c r="G21" s="306">
        <v>7250</v>
      </c>
      <c r="H21" s="307">
        <f>K21-I21+J21</f>
        <v>724308.62399999984</v>
      </c>
      <c r="I21" s="115">
        <v>351583.17711744132</v>
      </c>
      <c r="J21" s="307">
        <v>4952</v>
      </c>
      <c r="K21" s="308">
        <v>1070939.8011174412</v>
      </c>
    </row>
    <row r="22" spans="1:11" ht="18" customHeight="1" x14ac:dyDescent="0.4">
      <c r="A22" s="1" t="s">
        <v>76</v>
      </c>
      <c r="B22" t="s">
        <v>6</v>
      </c>
      <c r="F22" s="306">
        <v>142</v>
      </c>
      <c r="G22" s="306">
        <v>1107</v>
      </c>
      <c r="H22" s="307">
        <f>K22-I22+J22</f>
        <v>47663</v>
      </c>
      <c r="I22" s="115">
        <v>2952</v>
      </c>
      <c r="J22" s="307">
        <v>0</v>
      </c>
      <c r="K22" s="308">
        <v>50615</v>
      </c>
    </row>
    <row r="23" spans="1:11" ht="18" customHeight="1" x14ac:dyDescent="0.4">
      <c r="A23" s="1" t="s">
        <v>77</v>
      </c>
      <c r="B23" t="s">
        <v>43</v>
      </c>
      <c r="F23" s="306">
        <v>0</v>
      </c>
      <c r="G23" s="306">
        <v>0</v>
      </c>
      <c r="H23" s="307"/>
      <c r="I23" s="115">
        <v>0</v>
      </c>
      <c r="J23" s="307">
        <v>0</v>
      </c>
      <c r="K23" s="308">
        <v>0</v>
      </c>
    </row>
    <row r="24" spans="1:11" ht="18" customHeight="1" x14ac:dyDescent="0.4">
      <c r="A24" s="1" t="s">
        <v>78</v>
      </c>
      <c r="B24" t="s">
        <v>44</v>
      </c>
      <c r="F24" s="306">
        <v>36</v>
      </c>
      <c r="G24" s="306">
        <v>161</v>
      </c>
      <c r="H24" s="307">
        <f>K24-I24+J24</f>
        <v>45851.55</v>
      </c>
      <c r="I24" s="115">
        <v>23669.828727361219</v>
      </c>
      <c r="J24" s="307">
        <v>0</v>
      </c>
      <c r="K24" s="308">
        <v>69521.378727361225</v>
      </c>
    </row>
    <row r="25" spans="1:11" ht="18" customHeight="1" x14ac:dyDescent="0.4">
      <c r="A25" s="1" t="s">
        <v>79</v>
      </c>
      <c r="B25" t="s">
        <v>5</v>
      </c>
      <c r="F25" s="306">
        <v>354</v>
      </c>
      <c r="G25" s="306">
        <v>616</v>
      </c>
      <c r="H25" s="307">
        <f>K25-I25+J25</f>
        <v>25663</v>
      </c>
      <c r="I25" s="115">
        <v>10127</v>
      </c>
      <c r="J25" s="307">
        <v>0</v>
      </c>
      <c r="K25" s="308">
        <v>35790</v>
      </c>
    </row>
    <row r="26" spans="1:11" ht="18" customHeight="1" x14ac:dyDescent="0.4">
      <c r="A26" s="1" t="s">
        <v>80</v>
      </c>
      <c r="B26" t="s">
        <v>45</v>
      </c>
      <c r="F26" s="306">
        <v>4</v>
      </c>
      <c r="G26" s="306">
        <v>8</v>
      </c>
      <c r="H26" s="307">
        <f>K26-I26+J26</f>
        <v>215</v>
      </c>
      <c r="I26" s="115">
        <v>0</v>
      </c>
      <c r="J26" s="307">
        <v>0</v>
      </c>
      <c r="K26" s="308">
        <v>215</v>
      </c>
    </row>
    <row r="27" spans="1:11" ht="18" customHeight="1" x14ac:dyDescent="0.4">
      <c r="A27" s="1" t="s">
        <v>81</v>
      </c>
      <c r="B27" t="s">
        <v>46</v>
      </c>
      <c r="F27" s="306">
        <v>315</v>
      </c>
      <c r="G27" s="306">
        <v>2464</v>
      </c>
      <c r="H27" s="307">
        <v>577467</v>
      </c>
      <c r="I27" s="115">
        <f>H27*F114</f>
        <v>301397.7427937407</v>
      </c>
      <c r="J27" s="307">
        <v>0</v>
      </c>
      <c r="K27" s="308">
        <f>SUM(H27:J27)</f>
        <v>878864.7427937407</v>
      </c>
    </row>
    <row r="28" spans="1:11" ht="18" customHeight="1" x14ac:dyDescent="0.4">
      <c r="A28" s="1" t="s">
        <v>82</v>
      </c>
      <c r="B28" t="s">
        <v>47</v>
      </c>
      <c r="F28" s="306">
        <v>0</v>
      </c>
      <c r="G28" s="306">
        <v>0</v>
      </c>
      <c r="H28" s="307"/>
      <c r="I28" s="115">
        <v>0</v>
      </c>
      <c r="J28" s="307">
        <v>0</v>
      </c>
      <c r="K28" s="308">
        <v>0</v>
      </c>
    </row>
    <row r="29" spans="1:11" ht="18" customHeight="1" x14ac:dyDescent="0.4">
      <c r="A29" s="1" t="s">
        <v>83</v>
      </c>
      <c r="B29" t="s">
        <v>48</v>
      </c>
      <c r="F29" s="306">
        <v>839</v>
      </c>
      <c r="G29" s="306">
        <v>465</v>
      </c>
      <c r="H29" s="307">
        <f>K29-I29+J29</f>
        <v>247863.69999999995</v>
      </c>
      <c r="I29" s="115">
        <v>114111.09437271254</v>
      </c>
      <c r="J29" s="307">
        <v>0</v>
      </c>
      <c r="K29" s="308">
        <v>361974.79437271249</v>
      </c>
    </row>
    <row r="30" spans="1:11" ht="18" customHeight="1" x14ac:dyDescent="0.4">
      <c r="A30" s="1" t="s">
        <v>84</v>
      </c>
      <c r="B30" s="630" t="s">
        <v>839</v>
      </c>
      <c r="C30" s="631"/>
      <c r="D30" s="632"/>
      <c r="F30" s="306">
        <v>262</v>
      </c>
      <c r="G30" s="306">
        <v>14348</v>
      </c>
      <c r="H30" s="307">
        <f>K30-I30+J30</f>
        <v>64990</v>
      </c>
      <c r="I30" s="115">
        <v>613</v>
      </c>
      <c r="J30" s="307">
        <v>25625</v>
      </c>
      <c r="K30" s="308">
        <v>39978</v>
      </c>
    </row>
    <row r="31" spans="1:11" ht="18" customHeight="1" x14ac:dyDescent="0.4">
      <c r="A31" s="1" t="s">
        <v>133</v>
      </c>
      <c r="B31" s="630" t="s">
        <v>840</v>
      </c>
      <c r="C31" s="631"/>
      <c r="D31" s="632"/>
      <c r="F31" s="306">
        <v>684</v>
      </c>
      <c r="G31" s="306">
        <v>1351</v>
      </c>
      <c r="H31" s="307">
        <f>K31-I31+J31</f>
        <v>130870</v>
      </c>
      <c r="I31" s="115">
        <v>287</v>
      </c>
      <c r="J31" s="307">
        <v>0</v>
      </c>
      <c r="K31" s="308">
        <v>131157</v>
      </c>
    </row>
    <row r="32" spans="1:11" ht="18" customHeight="1" x14ac:dyDescent="0.4">
      <c r="A32" s="1" t="s">
        <v>134</v>
      </c>
      <c r="B32" s="394" t="s">
        <v>841</v>
      </c>
      <c r="C32" s="395"/>
      <c r="D32" s="396"/>
      <c r="F32" s="306">
        <v>7284</v>
      </c>
      <c r="G32" s="309">
        <v>0</v>
      </c>
      <c r="H32" s="307">
        <f>K32-I32+J32</f>
        <v>392317</v>
      </c>
      <c r="I32" s="115">
        <v>196355</v>
      </c>
      <c r="J32" s="307">
        <v>0</v>
      </c>
      <c r="K32" s="308">
        <v>588672</v>
      </c>
    </row>
    <row r="33" spans="1:11" ht="18" customHeight="1" x14ac:dyDescent="0.4">
      <c r="A33" s="1" t="s">
        <v>135</v>
      </c>
      <c r="B33" s="394"/>
      <c r="C33" s="395"/>
      <c r="D33" s="396"/>
      <c r="F33" s="306"/>
      <c r="G33" s="309" t="s">
        <v>85</v>
      </c>
      <c r="H33" s="307"/>
      <c r="I33" s="115"/>
      <c r="J33" s="307"/>
      <c r="K33" s="308"/>
    </row>
    <row r="34" spans="1:11" ht="18" customHeight="1" x14ac:dyDescent="0.4">
      <c r="A34" s="1" t="s">
        <v>136</v>
      </c>
      <c r="B34" s="630"/>
      <c r="C34" s="631"/>
      <c r="D34" s="632"/>
      <c r="F34" s="306"/>
      <c r="G34" s="309"/>
      <c r="H34" s="307"/>
      <c r="I34" s="115"/>
      <c r="J34" s="307"/>
      <c r="K34" s="308"/>
    </row>
    <row r="35" spans="1:11" ht="18" customHeight="1" x14ac:dyDescent="0.4">
      <c r="K35" s="397"/>
    </row>
    <row r="36" spans="1:11" ht="18" customHeight="1" x14ac:dyDescent="0.4">
      <c r="A36" s="98" t="s">
        <v>137</v>
      </c>
      <c r="B36" s="95" t="s">
        <v>138</v>
      </c>
      <c r="E36" s="95" t="s">
        <v>7</v>
      </c>
      <c r="F36" s="310">
        <f>SUM(F21:F34)</f>
        <v>11042</v>
      </c>
      <c r="G36" s="310">
        <f>SUM(G21:G34)</f>
        <v>27770</v>
      </c>
      <c r="H36" s="310">
        <f t="shared" ref="H36:J36" si="0">SUM(H21:H34)</f>
        <v>2257208.8739999998</v>
      </c>
      <c r="I36" s="308">
        <f t="shared" si="0"/>
        <v>1001095.8430112558</v>
      </c>
      <c r="J36" s="308">
        <f t="shared" si="0"/>
        <v>30577</v>
      </c>
      <c r="K36" s="308">
        <f>SUM(K21:K34)</f>
        <v>3227727.7170112552</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1">H40+I40-J40</f>
        <v>0</v>
      </c>
    </row>
    <row r="41" spans="1:11" ht="18" customHeight="1" x14ac:dyDescent="0.4">
      <c r="A41" s="1" t="s">
        <v>88</v>
      </c>
      <c r="B41" s="635" t="s">
        <v>50</v>
      </c>
      <c r="C41" s="636"/>
      <c r="F41" s="306">
        <v>14882</v>
      </c>
      <c r="G41" s="306">
        <v>492</v>
      </c>
      <c r="H41" s="307">
        <v>801744</v>
      </c>
      <c r="I41" s="115">
        <v>481847</v>
      </c>
      <c r="J41" s="307">
        <v>0</v>
      </c>
      <c r="K41" s="308">
        <f t="shared" si="1"/>
        <v>1283591</v>
      </c>
    </row>
    <row r="42" spans="1:11" ht="18" customHeight="1" x14ac:dyDescent="0.4">
      <c r="A42" s="1" t="s">
        <v>89</v>
      </c>
      <c r="B42" s="94" t="s">
        <v>11</v>
      </c>
      <c r="F42" s="306"/>
      <c r="G42" s="306"/>
      <c r="H42" s="307"/>
      <c r="I42" s="115">
        <v>0</v>
      </c>
      <c r="J42" s="307">
        <v>0</v>
      </c>
      <c r="K42" s="308">
        <f t="shared" si="1"/>
        <v>0</v>
      </c>
    </row>
    <row r="43" spans="1:11" ht="18" customHeight="1" x14ac:dyDescent="0.4">
      <c r="A43" s="1" t="s">
        <v>90</v>
      </c>
      <c r="B43" s="94" t="s">
        <v>10</v>
      </c>
      <c r="F43" s="306"/>
      <c r="G43" s="306"/>
      <c r="H43" s="307"/>
      <c r="I43" s="115">
        <v>0</v>
      </c>
      <c r="J43" s="307"/>
      <c r="K43" s="308">
        <f t="shared" si="1"/>
        <v>0</v>
      </c>
    </row>
    <row r="44" spans="1:11" ht="18" customHeight="1" x14ac:dyDescent="0.4">
      <c r="A44" s="1" t="s">
        <v>91</v>
      </c>
      <c r="B44" s="630"/>
      <c r="C44" s="631"/>
      <c r="D44" s="632"/>
      <c r="F44" s="311"/>
      <c r="G44" s="311"/>
      <c r="H44" s="311"/>
      <c r="I44" s="116">
        <v>0</v>
      </c>
      <c r="J44" s="311"/>
      <c r="K44" s="353">
        <f t="shared" si="1"/>
        <v>0</v>
      </c>
    </row>
    <row r="45" spans="1:11" ht="18" customHeight="1" x14ac:dyDescent="0.4">
      <c r="A45" s="1" t="s">
        <v>139</v>
      </c>
      <c r="B45" s="630"/>
      <c r="C45" s="631"/>
      <c r="D45" s="632"/>
      <c r="F45" s="306"/>
      <c r="G45" s="306"/>
      <c r="H45" s="307"/>
      <c r="I45" s="115">
        <v>0</v>
      </c>
      <c r="J45" s="307"/>
      <c r="K45" s="308">
        <f t="shared" si="1"/>
        <v>0</v>
      </c>
    </row>
    <row r="46" spans="1:11" ht="18" customHeight="1" x14ac:dyDescent="0.4">
      <c r="A46" s="1" t="s">
        <v>140</v>
      </c>
      <c r="B46" s="630"/>
      <c r="C46" s="631"/>
      <c r="D46" s="632"/>
      <c r="F46" s="306"/>
      <c r="G46" s="306"/>
      <c r="H46" s="307"/>
      <c r="I46" s="115">
        <v>0</v>
      </c>
      <c r="J46" s="307"/>
      <c r="K46" s="308">
        <f t="shared" si="1"/>
        <v>0</v>
      </c>
    </row>
    <row r="47" spans="1:11" ht="18" customHeight="1" x14ac:dyDescent="0.4">
      <c r="A47" s="1" t="s">
        <v>141</v>
      </c>
      <c r="B47" s="630"/>
      <c r="C47" s="631"/>
      <c r="D47" s="632"/>
      <c r="F47" s="306"/>
      <c r="G47" s="306"/>
      <c r="H47" s="307"/>
      <c r="I47" s="115">
        <v>0</v>
      </c>
      <c r="J47" s="307"/>
      <c r="K47" s="308">
        <f t="shared" si="1"/>
        <v>0</v>
      </c>
    </row>
    <row r="48" spans="1:11" ht="18" customHeight="1" x14ac:dyDescent="0.4"/>
    <row r="49" spans="1:11" ht="18" customHeight="1" x14ac:dyDescent="0.4">
      <c r="A49" s="98" t="s">
        <v>142</v>
      </c>
      <c r="B49" s="95" t="s">
        <v>143</v>
      </c>
      <c r="E49" s="95" t="s">
        <v>7</v>
      </c>
      <c r="F49" s="312">
        <f t="shared" ref="F49:K49" si="2">SUM(F40:F47)</f>
        <v>14882</v>
      </c>
      <c r="G49" s="312">
        <f t="shared" si="2"/>
        <v>492</v>
      </c>
      <c r="H49" s="308">
        <f t="shared" si="2"/>
        <v>801744</v>
      </c>
      <c r="I49" s="308">
        <f t="shared" si="2"/>
        <v>481847</v>
      </c>
      <c r="J49" s="308">
        <f t="shared" si="2"/>
        <v>0</v>
      </c>
      <c r="K49" s="308">
        <f t="shared" si="2"/>
        <v>1283591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312</v>
      </c>
      <c r="C53" s="659"/>
      <c r="D53" s="654"/>
      <c r="F53" s="306"/>
      <c r="G53" s="306"/>
      <c r="H53" s="307">
        <v>2003244.2799999998</v>
      </c>
      <c r="I53" s="115">
        <v>1045554.645125128</v>
      </c>
      <c r="J53" s="307">
        <v>0</v>
      </c>
      <c r="K53" s="308">
        <f t="shared" ref="K53:K62" si="3">H53+I53-J53</f>
        <v>3048798.9251251277</v>
      </c>
    </row>
    <row r="54" spans="1:11" ht="18" customHeight="1" x14ac:dyDescent="0.4">
      <c r="A54" s="1" t="s">
        <v>93</v>
      </c>
      <c r="B54" s="400" t="s">
        <v>328</v>
      </c>
      <c r="C54" s="401"/>
      <c r="D54" s="402"/>
      <c r="F54" s="306"/>
      <c r="G54" s="306"/>
      <c r="H54" s="307">
        <v>7384480.9999999991</v>
      </c>
      <c r="I54" s="115">
        <v>3879368.7378325472</v>
      </c>
      <c r="J54" s="307"/>
      <c r="K54" s="308">
        <f t="shared" si="3"/>
        <v>11263849.737832546</v>
      </c>
    </row>
    <row r="55" spans="1:11" ht="18" customHeight="1" x14ac:dyDescent="0.4">
      <c r="A55" s="1" t="s">
        <v>94</v>
      </c>
      <c r="B55" s="655" t="s">
        <v>329</v>
      </c>
      <c r="C55" s="653"/>
      <c r="D55" s="654"/>
      <c r="F55" s="306"/>
      <c r="G55" s="306"/>
      <c r="H55" s="307">
        <v>2100844.0300000003</v>
      </c>
      <c r="I55" s="115">
        <v>1096494.9488086866</v>
      </c>
      <c r="J55" s="307">
        <v>0</v>
      </c>
      <c r="K55" s="308">
        <f t="shared" si="3"/>
        <v>3197338.9788086871</v>
      </c>
    </row>
    <row r="56" spans="1:11" ht="18" customHeight="1" x14ac:dyDescent="0.4">
      <c r="A56" s="1" t="s">
        <v>95</v>
      </c>
      <c r="B56" s="655" t="s">
        <v>330</v>
      </c>
      <c r="C56" s="653"/>
      <c r="D56" s="654"/>
      <c r="F56" s="306"/>
      <c r="G56" s="306"/>
      <c r="H56" s="307">
        <v>1792049.67</v>
      </c>
      <c r="I56" s="115">
        <v>935325.69915210386</v>
      </c>
      <c r="J56" s="307">
        <v>0</v>
      </c>
      <c r="K56" s="308">
        <f t="shared" si="3"/>
        <v>2727375.3691521036</v>
      </c>
    </row>
    <row r="57" spans="1:11" ht="18" customHeight="1" x14ac:dyDescent="0.4">
      <c r="A57" s="1" t="s">
        <v>96</v>
      </c>
      <c r="B57" s="655" t="s">
        <v>322</v>
      </c>
      <c r="C57" s="653"/>
      <c r="D57" s="654"/>
      <c r="F57" s="306"/>
      <c r="G57" s="306"/>
      <c r="H57" s="307">
        <v>5759885.080000001</v>
      </c>
      <c r="I57" s="115">
        <v>3105128.5967528205</v>
      </c>
      <c r="J57" s="307"/>
      <c r="K57" s="308">
        <f t="shared" si="3"/>
        <v>8865013.6767528206</v>
      </c>
    </row>
    <row r="58" spans="1:11" ht="18" customHeight="1" x14ac:dyDescent="0.4">
      <c r="A58" s="1" t="s">
        <v>97</v>
      </c>
      <c r="B58" s="400" t="s">
        <v>388</v>
      </c>
      <c r="C58" s="401"/>
      <c r="D58" s="402"/>
      <c r="F58" s="306"/>
      <c r="G58" s="306"/>
      <c r="H58" s="307">
        <v>1628678.16</v>
      </c>
      <c r="I58" s="115">
        <v>850057.09618292109</v>
      </c>
      <c r="J58" s="307">
        <v>0</v>
      </c>
      <c r="K58" s="308">
        <f t="shared" si="3"/>
        <v>2478735.2561829211</v>
      </c>
    </row>
    <row r="59" spans="1:11" ht="18" customHeight="1" x14ac:dyDescent="0.4">
      <c r="A59" s="1" t="s">
        <v>98</v>
      </c>
      <c r="B59" s="655" t="s">
        <v>331</v>
      </c>
      <c r="C59" s="653"/>
      <c r="D59" s="654"/>
      <c r="F59" s="306"/>
      <c r="G59" s="306"/>
      <c r="H59" s="307">
        <v>1795846.24</v>
      </c>
      <c r="I59" s="115">
        <v>937307.24550602259</v>
      </c>
      <c r="J59" s="307">
        <v>0</v>
      </c>
      <c r="K59" s="308">
        <f t="shared" si="3"/>
        <v>2733153.4855060223</v>
      </c>
    </row>
    <row r="60" spans="1:11" ht="18" customHeight="1" x14ac:dyDescent="0.4">
      <c r="A60" s="1" t="s">
        <v>99</v>
      </c>
      <c r="B60" s="400" t="s">
        <v>332</v>
      </c>
      <c r="C60" s="401"/>
      <c r="D60" s="402"/>
      <c r="F60" s="306"/>
      <c r="G60" s="306"/>
      <c r="H60" s="307">
        <v>187200</v>
      </c>
      <c r="I60" s="115">
        <v>97705.422908994398</v>
      </c>
      <c r="J60" s="307">
        <v>0</v>
      </c>
      <c r="K60" s="308">
        <f t="shared" si="3"/>
        <v>284905.42290899437</v>
      </c>
    </row>
    <row r="61" spans="1:11" ht="18" customHeight="1" x14ac:dyDescent="0.4">
      <c r="A61" s="1" t="s">
        <v>100</v>
      </c>
      <c r="B61" s="400" t="s">
        <v>333</v>
      </c>
      <c r="C61" s="401"/>
      <c r="D61" s="402"/>
      <c r="F61" s="306"/>
      <c r="G61" s="306"/>
      <c r="H61" s="307">
        <v>306029.93</v>
      </c>
      <c r="I61" s="115">
        <v>163167.49779219524</v>
      </c>
      <c r="J61" s="307"/>
      <c r="K61" s="308">
        <f t="shared" si="3"/>
        <v>469197.42779219523</v>
      </c>
    </row>
    <row r="62" spans="1:11" ht="18" customHeight="1" x14ac:dyDescent="0.4">
      <c r="A62" s="1" t="s">
        <v>101</v>
      </c>
      <c r="B62" s="655"/>
      <c r="C62" s="653"/>
      <c r="D62" s="654"/>
      <c r="F62" s="306"/>
      <c r="G62" s="306"/>
      <c r="H62" s="307"/>
      <c r="I62" s="115"/>
      <c r="J62" s="307"/>
      <c r="K62" s="308">
        <f t="shared" si="3"/>
        <v>0</v>
      </c>
    </row>
    <row r="63" spans="1:11" ht="18" customHeight="1" x14ac:dyDescent="0.4">
      <c r="A63" s="1"/>
      <c r="I63" s="403"/>
    </row>
    <row r="64" spans="1:11" ht="18" customHeight="1" x14ac:dyDescent="0.4">
      <c r="A64" s="1" t="s">
        <v>144</v>
      </c>
      <c r="B64" s="95" t="s">
        <v>145</v>
      </c>
      <c r="E64" s="95" t="s">
        <v>7</v>
      </c>
      <c r="F64" s="310">
        <f>SUM(F53:F62)</f>
        <v>0</v>
      </c>
      <c r="G64" s="310">
        <v>0</v>
      </c>
      <c r="H64" s="308">
        <f>SUM(H53:H62)</f>
        <v>22958258.389999997</v>
      </c>
      <c r="I64" s="308">
        <f>SUM(I53:I62)</f>
        <v>12110109.890061421</v>
      </c>
      <c r="J64" s="308">
        <v>0</v>
      </c>
      <c r="K64" s="308">
        <f>SUM(K53:K62)</f>
        <v>35068368.280061409</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0</v>
      </c>
      <c r="G68" s="313">
        <v>0</v>
      </c>
      <c r="H68" s="313">
        <v>0</v>
      </c>
      <c r="I68" s="115">
        <v>0</v>
      </c>
      <c r="J68" s="313">
        <v>0</v>
      </c>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v>0</v>
      </c>
      <c r="G70" s="104">
        <v>0</v>
      </c>
      <c r="H70" s="105"/>
      <c r="I70" s="115">
        <v>0</v>
      </c>
      <c r="J70" s="105">
        <v>0</v>
      </c>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4">SUM(F68:F72)</f>
        <v>0</v>
      </c>
      <c r="G74" s="411">
        <f t="shared" si="4"/>
        <v>0</v>
      </c>
      <c r="H74" s="411">
        <f t="shared" si="4"/>
        <v>0</v>
      </c>
      <c r="I74" s="412">
        <f t="shared" si="4"/>
        <v>0</v>
      </c>
      <c r="J74" s="411">
        <f t="shared" si="4"/>
        <v>0</v>
      </c>
      <c r="K74" s="308">
        <f t="shared" si="4"/>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425</v>
      </c>
      <c r="H77" s="307">
        <v>46500</v>
      </c>
      <c r="I77" s="115">
        <v>0</v>
      </c>
      <c r="J77" s="307">
        <v>0</v>
      </c>
      <c r="K77" s="308">
        <f>H77+I77-J77</f>
        <v>46500</v>
      </c>
    </row>
    <row r="78" spans="1:11" ht="18" customHeight="1" x14ac:dyDescent="0.4">
      <c r="A78" s="1" t="s">
        <v>108</v>
      </c>
      <c r="B78" s="94" t="s">
        <v>55</v>
      </c>
      <c r="F78" s="306">
        <v>0</v>
      </c>
      <c r="G78" s="306">
        <v>0</v>
      </c>
      <c r="H78" s="307">
        <v>0</v>
      </c>
      <c r="I78" s="115">
        <v>0</v>
      </c>
      <c r="J78" s="307">
        <v>0</v>
      </c>
      <c r="K78" s="308">
        <f>H78+I78-J78</f>
        <v>0</v>
      </c>
    </row>
    <row r="79" spans="1:11" ht="18" customHeight="1" x14ac:dyDescent="0.4">
      <c r="A79" s="1" t="s">
        <v>109</v>
      </c>
      <c r="B79" s="94" t="s">
        <v>13</v>
      </c>
      <c r="F79" s="306">
        <v>3</v>
      </c>
      <c r="G79" s="306">
        <v>200</v>
      </c>
      <c r="H79" s="307">
        <v>460</v>
      </c>
      <c r="I79" s="115">
        <v>0</v>
      </c>
      <c r="J79" s="307">
        <v>0</v>
      </c>
      <c r="K79" s="308">
        <f>H79+I79-J79</f>
        <v>460</v>
      </c>
    </row>
    <row r="80" spans="1:11" ht="18" customHeight="1" x14ac:dyDescent="0.4">
      <c r="A80" s="1" t="s">
        <v>110</v>
      </c>
      <c r="B80" s="94" t="s">
        <v>56</v>
      </c>
      <c r="F80" s="306"/>
      <c r="G80" s="306"/>
      <c r="H80" s="307"/>
      <c r="I80" s="115">
        <v>0</v>
      </c>
      <c r="J80" s="307"/>
      <c r="K80" s="308">
        <v>0</v>
      </c>
    </row>
    <row r="81" spans="1:11" ht="18" customHeight="1" x14ac:dyDescent="0.4">
      <c r="A81" s="1"/>
      <c r="K81" s="315"/>
    </row>
    <row r="82" spans="1:11" ht="18" customHeight="1" x14ac:dyDescent="0.4">
      <c r="A82" s="1" t="s">
        <v>148</v>
      </c>
      <c r="B82" s="95" t="s">
        <v>149</v>
      </c>
      <c r="E82" s="95" t="s">
        <v>7</v>
      </c>
      <c r="F82" s="411">
        <f t="shared" ref="F82:K82" si="5">SUM(F77:F80)</f>
        <v>3</v>
      </c>
      <c r="G82" s="411">
        <f t="shared" si="5"/>
        <v>625</v>
      </c>
      <c r="H82" s="308">
        <f t="shared" si="5"/>
        <v>46960</v>
      </c>
      <c r="I82" s="308">
        <f t="shared" si="5"/>
        <v>0</v>
      </c>
      <c r="J82" s="308">
        <f t="shared" si="5"/>
        <v>0</v>
      </c>
      <c r="K82" s="308">
        <f t="shared" si="5"/>
        <v>46960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07"/>
      <c r="I86" s="115"/>
      <c r="J86" s="307"/>
      <c r="K86" s="308"/>
    </row>
    <row r="87" spans="1:11" ht="18" customHeight="1" x14ac:dyDescent="0.4">
      <c r="A87" s="1" t="s">
        <v>114</v>
      </c>
      <c r="B87" s="94" t="s">
        <v>14</v>
      </c>
      <c r="F87" s="306">
        <v>0</v>
      </c>
      <c r="G87" s="306">
        <v>0</v>
      </c>
      <c r="H87" s="307"/>
      <c r="I87" s="115"/>
      <c r="J87" s="307"/>
      <c r="K87" s="308"/>
    </row>
    <row r="88" spans="1:11" ht="18" customHeight="1" x14ac:dyDescent="0.4">
      <c r="A88" s="1" t="s">
        <v>115</v>
      </c>
      <c r="B88" s="94" t="s">
        <v>116</v>
      </c>
      <c r="F88" s="306">
        <v>36</v>
      </c>
      <c r="G88" s="306">
        <v>0</v>
      </c>
      <c r="H88" s="307">
        <v>2239</v>
      </c>
      <c r="I88" s="115">
        <v>414</v>
      </c>
      <c r="J88" s="307">
        <v>0</v>
      </c>
      <c r="K88" s="308">
        <f t="shared" ref="K88" si="6">H88+I88-J88</f>
        <v>2653</v>
      </c>
    </row>
    <row r="89" spans="1:11" ht="18" customHeight="1" x14ac:dyDescent="0.4">
      <c r="A89" s="1" t="s">
        <v>117</v>
      </c>
      <c r="B89" s="94" t="s">
        <v>58</v>
      </c>
      <c r="F89" s="306"/>
      <c r="G89" s="306">
        <v>0</v>
      </c>
      <c r="H89" s="307"/>
      <c r="I89" s="115"/>
      <c r="J89" s="307"/>
      <c r="K89" s="308"/>
    </row>
    <row r="90" spans="1:11" ht="18" customHeight="1" x14ac:dyDescent="0.4">
      <c r="A90" s="1" t="s">
        <v>118</v>
      </c>
      <c r="B90" s="635" t="s">
        <v>59</v>
      </c>
      <c r="C90" s="636"/>
      <c r="F90" s="306"/>
      <c r="G90" s="306">
        <v>0</v>
      </c>
      <c r="H90" s="307"/>
      <c r="I90" s="115"/>
      <c r="J90" s="307"/>
      <c r="K90" s="308"/>
    </row>
    <row r="91" spans="1:11" ht="18" customHeight="1" x14ac:dyDescent="0.4">
      <c r="A91" s="1" t="s">
        <v>119</v>
      </c>
      <c r="B91" s="94" t="s">
        <v>60</v>
      </c>
      <c r="F91" s="306"/>
      <c r="G91" s="306">
        <v>0</v>
      </c>
      <c r="H91" s="307"/>
      <c r="I91" s="115"/>
      <c r="J91" s="307"/>
      <c r="K91" s="308"/>
    </row>
    <row r="92" spans="1:11" ht="18" customHeight="1" x14ac:dyDescent="0.4">
      <c r="A92" s="1" t="s">
        <v>120</v>
      </c>
      <c r="B92" s="94" t="s">
        <v>121</v>
      </c>
      <c r="F92" s="107">
        <v>139</v>
      </c>
      <c r="G92" s="107">
        <v>1000</v>
      </c>
      <c r="H92" s="108">
        <v>7490</v>
      </c>
      <c r="I92" s="115">
        <v>1004</v>
      </c>
      <c r="J92" s="108">
        <v>0</v>
      </c>
      <c r="K92" s="308">
        <f>H92+I92-J92</f>
        <v>8494</v>
      </c>
    </row>
    <row r="93" spans="1:11" ht="18" customHeight="1" x14ac:dyDescent="0.4">
      <c r="A93" s="1" t="s">
        <v>122</v>
      </c>
      <c r="B93" s="94" t="s">
        <v>123</v>
      </c>
      <c r="F93" s="306">
        <v>93</v>
      </c>
      <c r="G93" s="306">
        <v>43</v>
      </c>
      <c r="H93" s="307">
        <v>5009</v>
      </c>
      <c r="I93" s="115">
        <v>3010</v>
      </c>
      <c r="J93" s="307">
        <v>0</v>
      </c>
      <c r="K93" s="308">
        <f>H93+I93-J93</f>
        <v>8019</v>
      </c>
    </row>
    <row r="94" spans="1:11" ht="18" customHeight="1" x14ac:dyDescent="0.4">
      <c r="A94" s="1" t="s">
        <v>124</v>
      </c>
      <c r="B94" s="655" t="s">
        <v>651</v>
      </c>
      <c r="C94" s="653"/>
      <c r="D94" s="654"/>
      <c r="F94" s="306"/>
      <c r="G94" s="306"/>
      <c r="H94" s="307">
        <v>22800</v>
      </c>
      <c r="I94" s="115">
        <v>0</v>
      </c>
      <c r="J94" s="307"/>
      <c r="K94" s="308">
        <f>H94+I94-J94</f>
        <v>22800</v>
      </c>
    </row>
    <row r="95" spans="1:11" ht="18" customHeight="1" x14ac:dyDescent="0.4">
      <c r="A95" s="1" t="s">
        <v>125</v>
      </c>
      <c r="B95" s="655"/>
      <c r="C95" s="653"/>
      <c r="D95" s="654"/>
      <c r="F95" s="306"/>
      <c r="G95" s="306"/>
      <c r="H95" s="307"/>
      <c r="I95" s="115"/>
      <c r="J95" s="307"/>
      <c r="K95" s="308"/>
    </row>
    <row r="96" spans="1:11" ht="18" customHeight="1" x14ac:dyDescent="0.4">
      <c r="A96" s="1" t="s">
        <v>126</v>
      </c>
      <c r="B96" s="655"/>
      <c r="C96" s="653"/>
      <c r="D96" s="654"/>
      <c r="F96" s="306"/>
      <c r="G96" s="306"/>
      <c r="H96" s="307"/>
      <c r="I96" s="115"/>
      <c r="J96" s="307"/>
      <c r="K96" s="308"/>
    </row>
    <row r="97" spans="1:11" ht="18" customHeight="1" x14ac:dyDescent="0.4">
      <c r="A97" s="1"/>
      <c r="B97" s="94"/>
    </row>
    <row r="98" spans="1:11" ht="18" customHeight="1" x14ac:dyDescent="0.4">
      <c r="A98" s="98" t="s">
        <v>150</v>
      </c>
      <c r="B98" s="95" t="s">
        <v>151</v>
      </c>
      <c r="E98" s="95" t="s">
        <v>7</v>
      </c>
      <c r="F98" s="310">
        <f t="shared" ref="F98:K98" si="7">SUM(F86:F96)</f>
        <v>268</v>
      </c>
      <c r="G98" s="310">
        <f t="shared" si="7"/>
        <v>1043</v>
      </c>
      <c r="H98" s="308">
        <f t="shared" si="7"/>
        <v>37538</v>
      </c>
      <c r="I98" s="308">
        <f t="shared" si="7"/>
        <v>4428</v>
      </c>
      <c r="J98" s="308">
        <f t="shared" si="7"/>
        <v>0</v>
      </c>
      <c r="K98" s="308">
        <f t="shared" si="7"/>
        <v>41966</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520</v>
      </c>
      <c r="G102" s="306">
        <v>448</v>
      </c>
      <c r="H102" s="307">
        <v>28242</v>
      </c>
      <c r="I102" s="115">
        <v>16832</v>
      </c>
      <c r="J102" s="307">
        <v>0</v>
      </c>
      <c r="K102" s="308">
        <f>H102+I102-J102</f>
        <v>45074</v>
      </c>
    </row>
    <row r="103" spans="1:11" ht="18" customHeight="1" x14ac:dyDescent="0.4">
      <c r="A103" s="1" t="s">
        <v>132</v>
      </c>
      <c r="B103" s="635" t="s">
        <v>62</v>
      </c>
      <c r="C103" s="635"/>
      <c r="F103" s="306">
        <v>9</v>
      </c>
      <c r="G103" s="306">
        <v>0</v>
      </c>
      <c r="H103" s="307">
        <v>485</v>
      </c>
      <c r="I103" s="115">
        <v>0</v>
      </c>
      <c r="J103" s="307">
        <v>0</v>
      </c>
      <c r="K103" s="308">
        <f>H103+I103-J103</f>
        <v>485</v>
      </c>
    </row>
    <row r="104" spans="1:11" ht="18" customHeight="1" x14ac:dyDescent="0.4">
      <c r="A104" s="1" t="s">
        <v>128</v>
      </c>
      <c r="B104" s="655"/>
      <c r="C104" s="653"/>
      <c r="D104" s="654"/>
      <c r="F104" s="306"/>
      <c r="G104" s="306"/>
      <c r="H104" s="307"/>
      <c r="I104" s="115">
        <v>0</v>
      </c>
      <c r="J104" s="307"/>
      <c r="K104" s="308">
        <f>H104+I104-J104</f>
        <v>0</v>
      </c>
    </row>
    <row r="105" spans="1:11" ht="18" customHeight="1" x14ac:dyDescent="0.4">
      <c r="A105" s="1" t="s">
        <v>127</v>
      </c>
      <c r="B105" s="655"/>
      <c r="C105" s="653"/>
      <c r="D105" s="654"/>
      <c r="F105" s="306"/>
      <c r="G105" s="306"/>
      <c r="H105" s="307"/>
      <c r="I105" s="115">
        <v>0</v>
      </c>
      <c r="J105" s="307"/>
      <c r="K105" s="308">
        <f>H105+I105-J105</f>
        <v>0</v>
      </c>
    </row>
    <row r="106" spans="1:11" ht="18" customHeight="1" x14ac:dyDescent="0.4">
      <c r="A106" s="1" t="s">
        <v>129</v>
      </c>
      <c r="B106" s="655"/>
      <c r="C106" s="653"/>
      <c r="D106" s="654"/>
      <c r="F106" s="306"/>
      <c r="G106" s="306"/>
      <c r="H106" s="307"/>
      <c r="I106" s="115">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8">SUM(F102:F106)</f>
        <v>529</v>
      </c>
      <c r="G108" s="310">
        <f t="shared" si="8"/>
        <v>448</v>
      </c>
      <c r="H108" s="308">
        <f t="shared" si="8"/>
        <v>28727</v>
      </c>
      <c r="I108" s="308">
        <f t="shared" si="8"/>
        <v>16832</v>
      </c>
      <c r="J108" s="308">
        <f t="shared" si="8"/>
        <v>0</v>
      </c>
      <c r="K108" s="308">
        <f t="shared" si="8"/>
        <v>45559</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7921000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0.52193067793266235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322523000.00000006</v>
      </c>
    </row>
    <row r="118" spans="1:6" ht="18" customHeight="1" x14ac:dyDescent="0.4">
      <c r="A118" s="1" t="s">
        <v>173</v>
      </c>
      <c r="B118" t="s">
        <v>18</v>
      </c>
      <c r="F118" s="307">
        <v>26057000</v>
      </c>
    </row>
    <row r="119" spans="1:6" ht="18" customHeight="1" x14ac:dyDescent="0.4">
      <c r="A119" s="1" t="s">
        <v>174</v>
      </c>
      <c r="B119" s="95" t="s">
        <v>19</v>
      </c>
      <c r="F119" s="308">
        <f>F118+F117</f>
        <v>348580000.00000006</v>
      </c>
    </row>
    <row r="120" spans="1:6" ht="18" customHeight="1" x14ac:dyDescent="0.4">
      <c r="A120" s="1"/>
      <c r="B120" s="95"/>
    </row>
    <row r="121" spans="1:6" ht="18" customHeight="1" x14ac:dyDescent="0.4">
      <c r="A121" s="1" t="s">
        <v>167</v>
      </c>
      <c r="B121" s="95" t="s">
        <v>36</v>
      </c>
      <c r="F121" s="307">
        <v>340304000</v>
      </c>
    </row>
    <row r="122" spans="1:6" ht="18" customHeight="1" x14ac:dyDescent="0.4">
      <c r="A122" s="1"/>
    </row>
    <row r="123" spans="1:6" ht="18" customHeight="1" x14ac:dyDescent="0.4">
      <c r="A123" s="1" t="s">
        <v>175</v>
      </c>
      <c r="B123" s="95" t="s">
        <v>20</v>
      </c>
      <c r="F123" s="307">
        <f>F119-F121</f>
        <v>8276000.0000000596</v>
      </c>
    </row>
    <row r="124" spans="1:6" ht="18" customHeight="1" x14ac:dyDescent="0.4">
      <c r="A124" s="1"/>
    </row>
    <row r="125" spans="1:6" ht="18" customHeight="1" x14ac:dyDescent="0.4">
      <c r="A125" s="1" t="s">
        <v>176</v>
      </c>
      <c r="B125" s="95" t="s">
        <v>21</v>
      </c>
      <c r="F125" s="307">
        <v>-1326000</v>
      </c>
    </row>
    <row r="126" spans="1:6" ht="18" customHeight="1" x14ac:dyDescent="0.4">
      <c r="A126" s="1"/>
    </row>
    <row r="127" spans="1:6" ht="18" customHeight="1" x14ac:dyDescent="0.4">
      <c r="A127" s="1" t="s">
        <v>177</v>
      </c>
      <c r="B127" s="95" t="s">
        <v>22</v>
      </c>
      <c r="F127" s="307">
        <f>F125+F123</f>
        <v>6950000.0000000596</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v>0</v>
      </c>
    </row>
    <row r="132" spans="1:11" ht="18" customHeight="1" x14ac:dyDescent="0.4">
      <c r="A132" s="1" t="s">
        <v>159</v>
      </c>
      <c r="B132" t="s">
        <v>25</v>
      </c>
      <c r="F132" s="306"/>
      <c r="G132" s="306"/>
      <c r="H132" s="307"/>
      <c r="I132" s="115">
        <v>0</v>
      </c>
      <c r="J132" s="307"/>
      <c r="K132" s="308">
        <v>0</v>
      </c>
    </row>
    <row r="133" spans="1:11" ht="18" customHeight="1" x14ac:dyDescent="0.4">
      <c r="A133" s="1" t="s">
        <v>160</v>
      </c>
      <c r="B133" s="630"/>
      <c r="C133" s="631"/>
      <c r="D133" s="632"/>
      <c r="F133" s="306"/>
      <c r="G133" s="306"/>
      <c r="H133" s="307"/>
      <c r="I133" s="115">
        <v>0</v>
      </c>
      <c r="J133" s="307"/>
      <c r="K133" s="308">
        <v>0</v>
      </c>
    </row>
    <row r="134" spans="1:11" ht="18" customHeight="1" x14ac:dyDescent="0.4">
      <c r="A134" s="1" t="s">
        <v>161</v>
      </c>
      <c r="B134" s="630"/>
      <c r="C134" s="631"/>
      <c r="D134" s="632"/>
      <c r="F134" s="306"/>
      <c r="G134" s="306"/>
      <c r="H134" s="307"/>
      <c r="I134" s="115">
        <v>0</v>
      </c>
      <c r="J134" s="307"/>
      <c r="K134" s="308">
        <v>0</v>
      </c>
    </row>
    <row r="135" spans="1:11" ht="18" customHeight="1" x14ac:dyDescent="0.4">
      <c r="A135" s="1" t="s">
        <v>162</v>
      </c>
      <c r="B135" s="630"/>
      <c r="C135" s="631"/>
      <c r="D135" s="632"/>
      <c r="F135" s="306"/>
      <c r="G135" s="306"/>
      <c r="H135" s="307"/>
      <c r="I135" s="115">
        <v>0</v>
      </c>
      <c r="J135" s="307"/>
      <c r="K135" s="308">
        <v>0</v>
      </c>
    </row>
    <row r="136" spans="1:11" ht="18" customHeight="1" x14ac:dyDescent="0.4">
      <c r="A136" s="98"/>
    </row>
    <row r="137" spans="1:11" ht="18" customHeight="1" x14ac:dyDescent="0.4">
      <c r="A137" s="98" t="s">
        <v>163</v>
      </c>
      <c r="B137" s="95" t="s">
        <v>27</v>
      </c>
      <c r="F137" s="310">
        <v>0</v>
      </c>
      <c r="G137" s="310">
        <v>0</v>
      </c>
      <c r="H137" s="308">
        <v>0</v>
      </c>
      <c r="I137" s="308">
        <v>0</v>
      </c>
      <c r="J137" s="308">
        <v>0</v>
      </c>
      <c r="K137" s="308">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9">F36</f>
        <v>11042</v>
      </c>
      <c r="G141" s="109">
        <f t="shared" si="9"/>
        <v>27770</v>
      </c>
      <c r="H141" s="106">
        <f t="shared" si="9"/>
        <v>2257208.8739999998</v>
      </c>
      <c r="I141" s="106">
        <f t="shared" si="9"/>
        <v>1001095.8430112558</v>
      </c>
      <c r="J141" s="106">
        <f t="shared" si="9"/>
        <v>30577</v>
      </c>
      <c r="K141" s="106">
        <f t="shared" si="9"/>
        <v>3227727.7170112552</v>
      </c>
    </row>
    <row r="142" spans="1:11" ht="18" customHeight="1" x14ac:dyDescent="0.4">
      <c r="A142" s="1" t="s">
        <v>142</v>
      </c>
      <c r="B142" s="95" t="s">
        <v>65</v>
      </c>
      <c r="F142" s="109">
        <f>F49</f>
        <v>14882</v>
      </c>
      <c r="G142" s="109">
        <f t="shared" ref="G142:K142" si="10">G49</f>
        <v>492</v>
      </c>
      <c r="H142" s="106">
        <f t="shared" si="10"/>
        <v>801744</v>
      </c>
      <c r="I142" s="106">
        <f t="shared" si="10"/>
        <v>481847</v>
      </c>
      <c r="J142" s="106">
        <f t="shared" si="10"/>
        <v>0</v>
      </c>
      <c r="K142" s="106">
        <f t="shared" si="10"/>
        <v>1283591</v>
      </c>
    </row>
    <row r="143" spans="1:11" ht="18" customHeight="1" x14ac:dyDescent="0.4">
      <c r="A143" s="1" t="s">
        <v>144</v>
      </c>
      <c r="B143" s="95" t="s">
        <v>66</v>
      </c>
      <c r="F143" s="109">
        <f>F64</f>
        <v>0</v>
      </c>
      <c r="G143" s="109">
        <f t="shared" ref="G143:K143" si="11">G64</f>
        <v>0</v>
      </c>
      <c r="H143" s="106">
        <f t="shared" si="11"/>
        <v>22958258.389999997</v>
      </c>
      <c r="I143" s="106">
        <f t="shared" si="11"/>
        <v>12110109.890061421</v>
      </c>
      <c r="J143" s="106">
        <f t="shared" si="11"/>
        <v>0</v>
      </c>
      <c r="K143" s="106">
        <f t="shared" si="11"/>
        <v>35068368.280061409</v>
      </c>
    </row>
    <row r="144" spans="1:11" ht="18" customHeight="1" x14ac:dyDescent="0.4">
      <c r="A144" s="1" t="s">
        <v>146</v>
      </c>
      <c r="B144" s="95" t="s">
        <v>67</v>
      </c>
      <c r="F144" s="109">
        <f>F74</f>
        <v>0</v>
      </c>
      <c r="G144" s="109">
        <f t="shared" ref="G144:K144" si="12">G74</f>
        <v>0</v>
      </c>
      <c r="H144" s="106">
        <f t="shared" si="12"/>
        <v>0</v>
      </c>
      <c r="I144" s="106">
        <f t="shared" si="12"/>
        <v>0</v>
      </c>
      <c r="J144" s="106">
        <f t="shared" si="12"/>
        <v>0</v>
      </c>
      <c r="K144" s="106">
        <f t="shared" si="12"/>
        <v>0</v>
      </c>
    </row>
    <row r="145" spans="1:11" ht="18" customHeight="1" x14ac:dyDescent="0.4">
      <c r="A145" s="1" t="s">
        <v>148</v>
      </c>
      <c r="B145" s="95" t="s">
        <v>68</v>
      </c>
      <c r="F145" s="109">
        <f>F82</f>
        <v>3</v>
      </c>
      <c r="G145" s="109">
        <f t="shared" ref="G145:K145" si="13">G82</f>
        <v>625</v>
      </c>
      <c r="H145" s="106">
        <f t="shared" si="13"/>
        <v>46960</v>
      </c>
      <c r="I145" s="106">
        <f t="shared" si="13"/>
        <v>0</v>
      </c>
      <c r="J145" s="106">
        <f t="shared" si="13"/>
        <v>0</v>
      </c>
      <c r="K145" s="106">
        <f t="shared" si="13"/>
        <v>46960</v>
      </c>
    </row>
    <row r="146" spans="1:11" ht="18" customHeight="1" x14ac:dyDescent="0.4">
      <c r="A146" s="1" t="s">
        <v>150</v>
      </c>
      <c r="B146" s="95" t="s">
        <v>69</v>
      </c>
      <c r="F146" s="109">
        <f>F98</f>
        <v>268</v>
      </c>
      <c r="G146" s="109">
        <f t="shared" ref="G146:K146" si="14">G98</f>
        <v>1043</v>
      </c>
      <c r="H146" s="106">
        <f t="shared" si="14"/>
        <v>37538</v>
      </c>
      <c r="I146" s="106">
        <f t="shared" si="14"/>
        <v>4428</v>
      </c>
      <c r="J146" s="106">
        <f t="shared" si="14"/>
        <v>0</v>
      </c>
      <c r="K146" s="106">
        <f t="shared" si="14"/>
        <v>41966</v>
      </c>
    </row>
    <row r="147" spans="1:11" ht="18" customHeight="1" x14ac:dyDescent="0.4">
      <c r="A147" s="1" t="s">
        <v>153</v>
      </c>
      <c r="B147" s="95" t="s">
        <v>61</v>
      </c>
      <c r="F147" s="310">
        <f>F108</f>
        <v>529</v>
      </c>
      <c r="G147" s="310">
        <f t="shared" ref="G147:K147" si="15">G108</f>
        <v>448</v>
      </c>
      <c r="H147" s="308">
        <f t="shared" si="15"/>
        <v>28727</v>
      </c>
      <c r="I147" s="308">
        <f t="shared" si="15"/>
        <v>16832</v>
      </c>
      <c r="J147" s="308">
        <f t="shared" si="15"/>
        <v>0</v>
      </c>
      <c r="K147" s="308">
        <f t="shared" si="15"/>
        <v>45559</v>
      </c>
    </row>
    <row r="148" spans="1:11" ht="18" customHeight="1" x14ac:dyDescent="0.4">
      <c r="A148" s="1" t="s">
        <v>155</v>
      </c>
      <c r="B148" s="95" t="s">
        <v>70</v>
      </c>
      <c r="F148" s="110" t="s">
        <v>73</v>
      </c>
      <c r="G148" s="110" t="s">
        <v>73</v>
      </c>
      <c r="H148" s="111" t="s">
        <v>73</v>
      </c>
      <c r="I148" s="111" t="s">
        <v>73</v>
      </c>
      <c r="J148" s="111" t="s">
        <v>73</v>
      </c>
      <c r="K148" s="106">
        <f>F111</f>
        <v>7921000</v>
      </c>
    </row>
    <row r="149" spans="1:11" ht="18" customHeight="1" x14ac:dyDescent="0.4">
      <c r="A149" s="1" t="s">
        <v>163</v>
      </c>
      <c r="B149" s="95" t="s">
        <v>71</v>
      </c>
      <c r="F149" s="310">
        <f>F137</f>
        <v>0</v>
      </c>
      <c r="G149" s="310">
        <f t="shared" ref="G149:K149" si="16">G137</f>
        <v>0</v>
      </c>
      <c r="H149" s="308">
        <f t="shared" si="16"/>
        <v>0</v>
      </c>
      <c r="I149" s="308">
        <f t="shared" si="16"/>
        <v>0</v>
      </c>
      <c r="J149" s="308">
        <f t="shared" si="16"/>
        <v>0</v>
      </c>
      <c r="K149" s="308">
        <f t="shared" si="16"/>
        <v>0</v>
      </c>
    </row>
    <row r="150" spans="1:11" ht="18" customHeight="1" x14ac:dyDescent="0.4">
      <c r="A150" s="1" t="s">
        <v>185</v>
      </c>
      <c r="B150" s="95" t="s">
        <v>186</v>
      </c>
      <c r="F150" s="110" t="s">
        <v>73</v>
      </c>
      <c r="G150" s="110" t="s">
        <v>73</v>
      </c>
      <c r="H150" s="308">
        <f>H18</f>
        <v>7404289.4500000002</v>
      </c>
      <c r="I150" s="308">
        <f>I18</f>
        <v>0</v>
      </c>
      <c r="J150" s="308">
        <f>J18</f>
        <v>6136454.1100000003</v>
      </c>
      <c r="K150" s="308">
        <f>K18</f>
        <v>1267835.3399999999</v>
      </c>
    </row>
    <row r="151" spans="1:11" ht="18" customHeight="1" x14ac:dyDescent="0.4">
      <c r="B151" s="95"/>
      <c r="F151" s="113"/>
      <c r="G151" s="113"/>
      <c r="H151" s="113"/>
      <c r="I151" s="113"/>
      <c r="J151" s="113"/>
      <c r="K151" s="113"/>
    </row>
    <row r="152" spans="1:11" ht="18" customHeight="1" x14ac:dyDescent="0.4">
      <c r="A152" s="98" t="s">
        <v>165</v>
      </c>
      <c r="B152" s="95" t="s">
        <v>26</v>
      </c>
      <c r="F152" s="114">
        <f>SUM(F149+SUM(F141:F147))</f>
        <v>26724</v>
      </c>
      <c r="G152" s="114">
        <f>SUM(G149+SUM(G141:G147))</f>
        <v>30378</v>
      </c>
      <c r="H152" s="427">
        <f>SUM(H149:H150)+SUM(H141:H147)</f>
        <v>33534725.713999998</v>
      </c>
      <c r="I152" s="427">
        <f>SUM(I149:I150)+SUM(I141:I147)</f>
        <v>13614312.733072678</v>
      </c>
      <c r="J152" s="427">
        <f>SUM(J149:J150)+SUM(J141:J147)</f>
        <v>6167031.1100000003</v>
      </c>
      <c r="K152" s="427">
        <f>SUM(K141:K150)</f>
        <v>48903007.33707267</v>
      </c>
    </row>
    <row r="153" spans="1:11" ht="18" customHeight="1" x14ac:dyDescent="0.4"/>
    <row r="154" spans="1:11" ht="18" customHeight="1" x14ac:dyDescent="0.4">
      <c r="A154" s="98" t="s">
        <v>168</v>
      </c>
      <c r="B154" s="95" t="s">
        <v>28</v>
      </c>
      <c r="F154" s="318">
        <f>K152/F121</f>
        <v>0.14370388634007439</v>
      </c>
    </row>
    <row r="155" spans="1:11" ht="18" customHeight="1" x14ac:dyDescent="0.4">
      <c r="A155" s="98" t="s">
        <v>169</v>
      </c>
      <c r="B155" s="95" t="s">
        <v>72</v>
      </c>
      <c r="F155" s="318">
        <f>K152/F123</f>
        <v>5.9090149029811885</v>
      </c>
      <c r="G155" s="95"/>
    </row>
    <row r="156" spans="1:11" ht="18" customHeight="1" x14ac:dyDescent="0.4">
      <c r="G156" s="95"/>
    </row>
  </sheetData>
  <mergeCells count="34">
    <mergeCell ref="B55:D55"/>
    <mergeCell ref="B56:D56"/>
    <mergeCell ref="B57:D57"/>
    <mergeCell ref="B59:D59"/>
    <mergeCell ref="B45:D45"/>
    <mergeCell ref="B46:D46"/>
    <mergeCell ref="B47:D47"/>
    <mergeCell ref="B52:C52"/>
    <mergeCell ref="B53:D53"/>
    <mergeCell ref="B106:D106"/>
    <mergeCell ref="B133:D133"/>
    <mergeCell ref="B134:D134"/>
    <mergeCell ref="B135:D135"/>
    <mergeCell ref="B95:D95"/>
    <mergeCell ref="B96:D96"/>
    <mergeCell ref="B103:C103"/>
    <mergeCell ref="B104:D104"/>
    <mergeCell ref="B105:D105"/>
    <mergeCell ref="B94:D94"/>
    <mergeCell ref="B41:C41"/>
    <mergeCell ref="D2:H2"/>
    <mergeCell ref="C5:G5"/>
    <mergeCell ref="C6:G6"/>
    <mergeCell ref="B62:D62"/>
    <mergeCell ref="C7:G7"/>
    <mergeCell ref="C9:G9"/>
    <mergeCell ref="C10:G10"/>
    <mergeCell ref="C11:G11"/>
    <mergeCell ref="B13:H13"/>
    <mergeCell ref="B30:D30"/>
    <mergeCell ref="B31:D31"/>
    <mergeCell ref="B34:D34"/>
    <mergeCell ref="B90:C90"/>
    <mergeCell ref="B44:D44"/>
  </mergeCells>
  <hyperlinks>
    <hyperlink ref="C11" r:id="rId1" xr:uid="{311140E2-B9AE-4086-BBA4-76E49338E494}"/>
  </hyperlinks>
  <pageMargins left="0.7" right="0.7" top="0.75" bottom="0.75" header="0.3" footer="0.3"/>
  <pageSetup scale="6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3" tint="0.59999389629810485"/>
    <pageSetUpPr fitToPage="1"/>
  </sheetPr>
  <dimension ref="A1:F55"/>
  <sheetViews>
    <sheetView zoomScaleNormal="100" workbookViewId="0">
      <selection activeCell="A2" sqref="A2"/>
    </sheetView>
  </sheetViews>
  <sheetFormatPr defaultColWidth="9.27734375" defaultRowHeight="12.3" x14ac:dyDescent="0.4"/>
  <cols>
    <col min="1" max="1" width="18.38671875" customWidth="1"/>
    <col min="2" max="2" width="51.71875" bestFit="1" customWidth="1"/>
    <col min="3" max="3" width="19.27734375" bestFit="1" customWidth="1"/>
    <col min="4" max="4" width="20.609375" customWidth="1"/>
    <col min="5" max="5" width="23.27734375" customWidth="1"/>
    <col min="6" max="6" width="25" customWidth="1"/>
  </cols>
  <sheetData>
    <row r="1" spans="1:6" ht="23.1" x14ac:dyDescent="0.85">
      <c r="A1" s="3" t="s">
        <v>849</v>
      </c>
      <c r="B1" s="165"/>
      <c r="C1" s="165"/>
      <c r="D1" s="166"/>
      <c r="E1" s="167"/>
      <c r="F1" s="164"/>
    </row>
    <row r="2" spans="1:6" ht="14.4" x14ac:dyDescent="0.55000000000000004">
      <c r="A2" s="278" t="s">
        <v>488</v>
      </c>
      <c r="B2" s="278" t="s">
        <v>194</v>
      </c>
      <c r="C2" s="279" t="s">
        <v>197</v>
      </c>
      <c r="D2" s="280" t="s">
        <v>411</v>
      </c>
      <c r="E2" s="279" t="s">
        <v>449</v>
      </c>
      <c r="F2" s="281" t="s">
        <v>381</v>
      </c>
    </row>
    <row r="3" spans="1:6" ht="14.4" x14ac:dyDescent="0.55000000000000004">
      <c r="A3" s="268">
        <v>210001</v>
      </c>
      <c r="B3" s="268" t="s">
        <v>191</v>
      </c>
      <c r="C3" s="385">
        <v>0</v>
      </c>
      <c r="D3" s="385">
        <v>371947.47321542853</v>
      </c>
      <c r="E3" s="602">
        <v>5280200</v>
      </c>
      <c r="F3" s="272">
        <f>C3+D3+E3</f>
        <v>5652147.4732154282</v>
      </c>
    </row>
    <row r="4" spans="1:6" ht="14.4" x14ac:dyDescent="0.55000000000000004">
      <c r="A4" s="269" t="s">
        <v>556</v>
      </c>
      <c r="B4" s="268" t="s">
        <v>557</v>
      </c>
      <c r="C4" s="385">
        <v>119732581.86424297</v>
      </c>
      <c r="D4" s="385">
        <v>1876955.3467342192</v>
      </c>
      <c r="E4" s="602">
        <v>21239000</v>
      </c>
      <c r="F4" s="272">
        <f t="shared" ref="F4:F52" si="0">C4+D4+E4</f>
        <v>142848537.2109772</v>
      </c>
    </row>
    <row r="5" spans="1:6" ht="14.4" x14ac:dyDescent="0.55000000000000004">
      <c r="A5" s="269" t="s">
        <v>558</v>
      </c>
      <c r="B5" s="268" t="s">
        <v>593</v>
      </c>
      <c r="C5" s="385">
        <v>4654171.97</v>
      </c>
      <c r="D5" s="385">
        <v>440818.7440310198</v>
      </c>
      <c r="E5" s="602">
        <v>10373354.652804293</v>
      </c>
      <c r="F5" s="272">
        <f t="shared" si="0"/>
        <v>15468345.366835311</v>
      </c>
    </row>
    <row r="6" spans="1:6" ht="14.4" x14ac:dyDescent="0.55000000000000004">
      <c r="A6" s="268">
        <v>210004</v>
      </c>
      <c r="B6" s="268" t="s">
        <v>450</v>
      </c>
      <c r="C6" s="385">
        <v>2300163.2884708853</v>
      </c>
      <c r="D6" s="383">
        <v>568651.30976263585</v>
      </c>
      <c r="E6" s="602">
        <v>25216477.760000005</v>
      </c>
      <c r="F6" s="272">
        <f t="shared" si="0"/>
        <v>28085292.358233526</v>
      </c>
    </row>
    <row r="7" spans="1:6" ht="14.4" x14ac:dyDescent="0.55000000000000004">
      <c r="A7" s="268">
        <v>210005</v>
      </c>
      <c r="B7" s="268" t="s">
        <v>559</v>
      </c>
      <c r="C7" s="385">
        <v>0</v>
      </c>
      <c r="D7" s="383">
        <v>393815.22345268057</v>
      </c>
      <c r="E7" s="602">
        <v>5822311.0699999994</v>
      </c>
      <c r="F7" s="272">
        <f t="shared" si="0"/>
        <v>6216126.2934526801</v>
      </c>
    </row>
    <row r="8" spans="1:6" ht="14.4" x14ac:dyDescent="0.55000000000000004">
      <c r="A8" s="268">
        <v>210006</v>
      </c>
      <c r="B8" s="268" t="s">
        <v>560</v>
      </c>
      <c r="C8" s="385">
        <v>0</v>
      </c>
      <c r="D8" s="383">
        <v>117514.50467379</v>
      </c>
      <c r="E8" s="602">
        <v>1818999.9999999998</v>
      </c>
      <c r="F8" s="272">
        <f t="shared" si="0"/>
        <v>1936514.5046737897</v>
      </c>
    </row>
    <row r="9" spans="1:6" ht="14.4" x14ac:dyDescent="0.55000000000000004">
      <c r="A9" s="268">
        <v>210008</v>
      </c>
      <c r="B9" s="268" t="s">
        <v>561</v>
      </c>
      <c r="C9" s="385">
        <v>5222205.8638570011</v>
      </c>
      <c r="D9" s="383">
        <v>594951.0867366062</v>
      </c>
      <c r="E9" s="602">
        <v>17767062</v>
      </c>
      <c r="F9" s="272">
        <f t="shared" si="0"/>
        <v>23584218.950593606</v>
      </c>
    </row>
    <row r="10" spans="1:6" ht="14.4" x14ac:dyDescent="0.55000000000000004">
      <c r="A10" s="268">
        <v>210009</v>
      </c>
      <c r="B10" s="268" t="s">
        <v>451</v>
      </c>
      <c r="C10" s="384">
        <v>119235430</v>
      </c>
      <c r="D10" s="383">
        <v>2657027.4183751694</v>
      </c>
      <c r="E10" s="602">
        <v>35066500</v>
      </c>
      <c r="F10" s="272">
        <f t="shared" si="0"/>
        <v>156958957.41837516</v>
      </c>
    </row>
    <row r="11" spans="1:6" ht="14.4" x14ac:dyDescent="0.55000000000000004">
      <c r="A11" s="268">
        <v>210010</v>
      </c>
      <c r="B11" s="268" t="s">
        <v>562</v>
      </c>
      <c r="C11" s="384">
        <v>0</v>
      </c>
      <c r="D11" s="383">
        <v>57158.994238054867</v>
      </c>
      <c r="E11" s="602">
        <v>425237.41138826963</v>
      </c>
      <c r="F11" s="272">
        <f t="shared" si="0"/>
        <v>482396.40562632447</v>
      </c>
    </row>
    <row r="12" spans="1:6" ht="14.4" x14ac:dyDescent="0.55000000000000004">
      <c r="A12" s="268">
        <v>210011</v>
      </c>
      <c r="B12" s="268" t="s">
        <v>563</v>
      </c>
      <c r="C12" s="384">
        <v>8822978.5049858764</v>
      </c>
      <c r="D12" s="383">
        <v>488207.18417009525</v>
      </c>
      <c r="E12" s="602">
        <v>12957524.010000002</v>
      </c>
      <c r="F12" s="272">
        <f t="shared" si="0"/>
        <v>22268709.699155971</v>
      </c>
    </row>
    <row r="13" spans="1:6" ht="14.4" x14ac:dyDescent="0.55000000000000004">
      <c r="A13" s="268">
        <v>210012</v>
      </c>
      <c r="B13" s="268" t="s">
        <v>564</v>
      </c>
      <c r="C13" s="384">
        <v>17345062.650161888</v>
      </c>
      <c r="D13" s="383">
        <v>870728.94963890221</v>
      </c>
      <c r="E13" s="602">
        <v>5349000</v>
      </c>
      <c r="F13" s="272">
        <f t="shared" si="0"/>
        <v>23564791.599800792</v>
      </c>
    </row>
    <row r="14" spans="1:6" ht="14.4" x14ac:dyDescent="0.55000000000000004">
      <c r="A14" s="268">
        <v>210013</v>
      </c>
      <c r="B14" s="268" t="s">
        <v>565</v>
      </c>
      <c r="C14" s="384">
        <v>0</v>
      </c>
      <c r="D14" s="383">
        <v>123743.94007305219</v>
      </c>
      <c r="E14" s="602">
        <v>213344.62</v>
      </c>
      <c r="F14" s="272">
        <f t="shared" si="0"/>
        <v>337088.56007305218</v>
      </c>
    </row>
    <row r="15" spans="1:6" ht="14.4" x14ac:dyDescent="0.55000000000000004">
      <c r="A15" s="268">
        <v>210015</v>
      </c>
      <c r="B15" s="268" t="s">
        <v>566</v>
      </c>
      <c r="C15" s="384">
        <v>8779316.6365507785</v>
      </c>
      <c r="D15" s="383">
        <v>596420.9020850145</v>
      </c>
      <c r="E15" s="602">
        <v>12318684.460000001</v>
      </c>
      <c r="F15" s="272">
        <f t="shared" si="0"/>
        <v>21694421.998635791</v>
      </c>
    </row>
    <row r="16" spans="1:6" ht="14.4" x14ac:dyDescent="0.55000000000000004">
      <c r="A16" s="268">
        <v>210016</v>
      </c>
      <c r="B16" s="268" t="s">
        <v>567</v>
      </c>
      <c r="C16" s="384">
        <v>0</v>
      </c>
      <c r="D16" s="383">
        <v>311221.43994336878</v>
      </c>
      <c r="E16" s="602">
        <v>9248445.1300000008</v>
      </c>
      <c r="F16" s="272">
        <f t="shared" si="0"/>
        <v>9559666.5699433703</v>
      </c>
    </row>
    <row r="17" spans="1:6" ht="14.4" x14ac:dyDescent="0.55000000000000004">
      <c r="A17" s="268">
        <v>210017</v>
      </c>
      <c r="B17" s="268" t="s">
        <v>568</v>
      </c>
      <c r="C17" s="384">
        <v>0</v>
      </c>
      <c r="D17" s="383">
        <v>64222.33662943486</v>
      </c>
      <c r="E17" s="602">
        <v>3088076.6558038108</v>
      </c>
      <c r="F17" s="272">
        <f t="shared" si="0"/>
        <v>3152298.9924332458</v>
      </c>
    </row>
    <row r="18" spans="1:6" ht="14.4" x14ac:dyDescent="0.55000000000000004">
      <c r="A18" s="268">
        <v>210018</v>
      </c>
      <c r="B18" s="268" t="s">
        <v>569</v>
      </c>
      <c r="C18" s="384">
        <v>0</v>
      </c>
      <c r="D18" s="383">
        <v>202905.44986940883</v>
      </c>
      <c r="E18" s="602">
        <v>3193638.4499999997</v>
      </c>
      <c r="F18" s="272">
        <f t="shared" si="0"/>
        <v>3396543.8998694085</v>
      </c>
    </row>
    <row r="19" spans="1:6" ht="14.4" x14ac:dyDescent="0.55000000000000004">
      <c r="A19" s="268">
        <v>210019</v>
      </c>
      <c r="B19" s="268" t="s">
        <v>396</v>
      </c>
      <c r="C19" s="384">
        <v>0</v>
      </c>
      <c r="D19" s="383">
        <v>501914.25172187493</v>
      </c>
      <c r="E19" s="602">
        <v>13045900</v>
      </c>
      <c r="F19" s="272">
        <f t="shared" si="0"/>
        <v>13547814.251721876</v>
      </c>
    </row>
    <row r="20" spans="1:6" ht="14.4" x14ac:dyDescent="0.55000000000000004">
      <c r="A20" s="268">
        <v>210022</v>
      </c>
      <c r="B20" s="268" t="s">
        <v>570</v>
      </c>
      <c r="C20" s="384">
        <v>598256.29259507696</v>
      </c>
      <c r="D20" s="383">
        <v>363619.40836355969</v>
      </c>
      <c r="E20" s="602">
        <v>4768896</v>
      </c>
      <c r="F20" s="272">
        <f t="shared" si="0"/>
        <v>5730771.7009586366</v>
      </c>
    </row>
    <row r="21" spans="1:6" ht="14.4" x14ac:dyDescent="0.55000000000000004">
      <c r="A21" s="268">
        <v>210023</v>
      </c>
      <c r="B21" s="268" t="s">
        <v>571</v>
      </c>
      <c r="C21" s="384">
        <v>1295673.25376</v>
      </c>
      <c r="D21" s="383">
        <v>696466.30788299639</v>
      </c>
      <c r="E21" s="602">
        <v>4665000</v>
      </c>
      <c r="F21" s="272">
        <f t="shared" si="0"/>
        <v>6657139.561642997</v>
      </c>
    </row>
    <row r="22" spans="1:6" ht="14.4" x14ac:dyDescent="0.55000000000000004">
      <c r="A22" s="268">
        <v>210024</v>
      </c>
      <c r="B22" s="268" t="s">
        <v>397</v>
      </c>
      <c r="C22" s="384">
        <v>13134515.132040251</v>
      </c>
      <c r="D22" s="383">
        <v>489842.64567936305</v>
      </c>
      <c r="E22" s="602">
        <v>9977661.1500000004</v>
      </c>
      <c r="F22" s="272">
        <f t="shared" si="0"/>
        <v>23602018.927719615</v>
      </c>
    </row>
    <row r="23" spans="1:6" ht="14.4" x14ac:dyDescent="0.55000000000000004">
      <c r="A23" s="268">
        <v>210027</v>
      </c>
      <c r="B23" s="268" t="s">
        <v>572</v>
      </c>
      <c r="C23" s="384">
        <v>0</v>
      </c>
      <c r="D23" s="383">
        <v>371133.81051549339</v>
      </c>
      <c r="E23" s="602">
        <v>12451700</v>
      </c>
      <c r="F23" s="272">
        <f t="shared" si="0"/>
        <v>12822833.810515493</v>
      </c>
    </row>
    <row r="24" spans="1:6" ht="14.4" x14ac:dyDescent="0.55000000000000004">
      <c r="A24" s="268">
        <v>210028</v>
      </c>
      <c r="B24" s="268" t="s">
        <v>573</v>
      </c>
      <c r="C24" s="384">
        <v>0</v>
      </c>
      <c r="D24" s="383">
        <v>217834.65187806301</v>
      </c>
      <c r="E24" s="602">
        <v>4539656.1199999992</v>
      </c>
      <c r="F24" s="272">
        <f t="shared" si="0"/>
        <v>4757490.7718780618</v>
      </c>
    </row>
    <row r="25" spans="1:6" ht="14.4" x14ac:dyDescent="0.55000000000000004">
      <c r="A25" s="268">
        <v>210029</v>
      </c>
      <c r="B25" s="268" t="s">
        <v>574</v>
      </c>
      <c r="C25" s="384">
        <v>25126323.900739532</v>
      </c>
      <c r="D25" s="383">
        <v>745886.82491962449</v>
      </c>
      <c r="E25" s="602">
        <v>21680000</v>
      </c>
      <c r="F25" s="272">
        <f t="shared" si="0"/>
        <v>47552210.725659162</v>
      </c>
    </row>
    <row r="26" spans="1:6" ht="14.4" x14ac:dyDescent="0.55000000000000004">
      <c r="A26" s="268">
        <v>210030</v>
      </c>
      <c r="B26" s="268" t="s">
        <v>575</v>
      </c>
      <c r="C26" s="384">
        <v>0</v>
      </c>
      <c r="D26" s="383">
        <v>66387.561937979801</v>
      </c>
      <c r="E26" s="602">
        <v>624741.64000000013</v>
      </c>
      <c r="F26" s="272">
        <f t="shared" si="0"/>
        <v>691129.2019379799</v>
      </c>
    </row>
    <row r="27" spans="1:6" ht="14.4" x14ac:dyDescent="0.55000000000000004">
      <c r="A27" s="268">
        <v>210032</v>
      </c>
      <c r="B27" s="268" t="s">
        <v>226</v>
      </c>
      <c r="C27" s="384">
        <v>0</v>
      </c>
      <c r="D27" s="383">
        <v>184880.4691019555</v>
      </c>
      <c r="E27" s="602">
        <v>1429900</v>
      </c>
      <c r="F27" s="272">
        <f t="shared" si="0"/>
        <v>1614780.4691019554</v>
      </c>
    </row>
    <row r="28" spans="1:6" ht="14.4" x14ac:dyDescent="0.55000000000000004">
      <c r="A28" s="268">
        <v>210033</v>
      </c>
      <c r="B28" s="268" t="s">
        <v>576</v>
      </c>
      <c r="C28" s="384">
        <v>0</v>
      </c>
      <c r="D28" s="383">
        <v>260679.68808085762</v>
      </c>
      <c r="E28" s="602">
        <v>503782.00000000006</v>
      </c>
      <c r="F28" s="272">
        <f t="shared" si="0"/>
        <v>764461.68808085774</v>
      </c>
    </row>
    <row r="29" spans="1:6" ht="14.4" x14ac:dyDescent="0.55000000000000004">
      <c r="A29" s="268">
        <v>210034</v>
      </c>
      <c r="B29" s="268" t="s">
        <v>577</v>
      </c>
      <c r="C29" s="384">
        <v>3866850.9143537963</v>
      </c>
      <c r="D29" s="383">
        <v>217001.12384571211</v>
      </c>
      <c r="E29" s="602">
        <v>5448213.5899999999</v>
      </c>
      <c r="F29" s="272">
        <f t="shared" si="0"/>
        <v>9532065.6281995084</v>
      </c>
    </row>
    <row r="30" spans="1:6" ht="14.4" x14ac:dyDescent="0.55000000000000004">
      <c r="A30" s="268">
        <v>210035</v>
      </c>
      <c r="B30" s="268" t="s">
        <v>578</v>
      </c>
      <c r="C30" s="384">
        <v>0</v>
      </c>
      <c r="D30" s="383">
        <v>172929.54764220578</v>
      </c>
      <c r="E30" s="602">
        <v>1088000</v>
      </c>
      <c r="F30" s="272">
        <f t="shared" si="0"/>
        <v>1260929.5476422058</v>
      </c>
    </row>
    <row r="31" spans="1:6" ht="14.4" x14ac:dyDescent="0.55000000000000004">
      <c r="A31" s="268">
        <v>210037</v>
      </c>
      <c r="B31" s="268" t="s">
        <v>579</v>
      </c>
      <c r="C31" s="384">
        <v>0</v>
      </c>
      <c r="D31" s="383">
        <v>235287.18304092251</v>
      </c>
      <c r="E31" s="602">
        <v>2913105.3100000005</v>
      </c>
      <c r="F31" s="272">
        <f t="shared" si="0"/>
        <v>3148392.493040923</v>
      </c>
    </row>
    <row r="32" spans="1:6" ht="14.4" x14ac:dyDescent="0.55000000000000004">
      <c r="A32" s="268">
        <v>210038</v>
      </c>
      <c r="B32" s="268" t="s">
        <v>580</v>
      </c>
      <c r="C32" s="384">
        <v>4875718.937990238</v>
      </c>
      <c r="D32" s="383">
        <v>265141.32696275105</v>
      </c>
      <c r="E32" s="602">
        <v>3763000</v>
      </c>
      <c r="F32" s="272">
        <f t="shared" si="0"/>
        <v>8903860.2649529893</v>
      </c>
    </row>
    <row r="33" spans="1:6" ht="14.4" x14ac:dyDescent="0.55000000000000004">
      <c r="A33" s="268">
        <v>210039</v>
      </c>
      <c r="B33" s="268" t="s">
        <v>581</v>
      </c>
      <c r="C33" s="384">
        <v>0</v>
      </c>
      <c r="D33" s="383">
        <v>165427.30366032847</v>
      </c>
      <c r="E33" s="602">
        <v>2092025.9999999998</v>
      </c>
      <c r="F33" s="272">
        <f t="shared" si="0"/>
        <v>2257453.303660328</v>
      </c>
    </row>
    <row r="34" spans="1:6" ht="14.4" x14ac:dyDescent="0.55000000000000004">
      <c r="A34" s="268">
        <v>210040</v>
      </c>
      <c r="B34" s="268" t="s">
        <v>477</v>
      </c>
      <c r="C34" s="384">
        <v>0</v>
      </c>
      <c r="D34" s="383">
        <v>296207.02045518125</v>
      </c>
      <c r="E34" s="602">
        <v>1929687.9999999998</v>
      </c>
      <c r="F34" s="272">
        <f t="shared" si="0"/>
        <v>2225895.0204551811</v>
      </c>
    </row>
    <row r="35" spans="1:6" ht="14.4" x14ac:dyDescent="0.55000000000000004">
      <c r="A35" s="268">
        <v>210043</v>
      </c>
      <c r="B35" s="268" t="s">
        <v>582</v>
      </c>
      <c r="C35" s="385">
        <v>650488.00938975799</v>
      </c>
      <c r="D35" s="385">
        <v>474915.20177033206</v>
      </c>
      <c r="E35" s="602">
        <v>6375000.0000000009</v>
      </c>
      <c r="F35" s="272">
        <f t="shared" si="0"/>
        <v>7500403.2111600908</v>
      </c>
    </row>
    <row r="36" spans="1:6" ht="14.4" x14ac:dyDescent="0.55000000000000004">
      <c r="A36" s="268">
        <v>210044</v>
      </c>
      <c r="B36" s="268" t="s">
        <v>444</v>
      </c>
      <c r="C36" s="385">
        <v>7731237.0365392836</v>
      </c>
      <c r="D36" s="385">
        <v>510520.21149329422</v>
      </c>
      <c r="E36" s="602">
        <v>2193000</v>
      </c>
      <c r="F36" s="272">
        <f t="shared" si="0"/>
        <v>10434757.248032577</v>
      </c>
    </row>
    <row r="37" spans="1:6" ht="14.4" x14ac:dyDescent="0.55000000000000004">
      <c r="A37" s="268">
        <v>210045</v>
      </c>
      <c r="B37" s="268" t="s">
        <v>583</v>
      </c>
      <c r="C37" s="385">
        <v>0</v>
      </c>
      <c r="D37" s="385">
        <v>19140.30579217929</v>
      </c>
      <c r="E37" s="603">
        <v>0</v>
      </c>
      <c r="F37" s="272">
        <f t="shared" si="0"/>
        <v>19140.30579217929</v>
      </c>
    </row>
    <row r="38" spans="1:6" ht="14.4" x14ac:dyDescent="0.55000000000000004">
      <c r="A38" s="268">
        <v>210048</v>
      </c>
      <c r="B38" s="268" t="s">
        <v>265</v>
      </c>
      <c r="C38" s="385">
        <v>0</v>
      </c>
      <c r="D38" s="385">
        <v>344313.33678705309</v>
      </c>
      <c r="E38" s="602">
        <v>4679000</v>
      </c>
      <c r="F38" s="272">
        <f t="shared" si="0"/>
        <v>5023313.3367870534</v>
      </c>
    </row>
    <row r="39" spans="1:6" ht="14.4" x14ac:dyDescent="0.55000000000000004">
      <c r="A39" s="268">
        <v>210049</v>
      </c>
      <c r="B39" s="268" t="s">
        <v>584</v>
      </c>
      <c r="C39" s="385">
        <v>0</v>
      </c>
      <c r="D39" s="385">
        <v>379634.4057027513</v>
      </c>
      <c r="E39" s="602">
        <v>3918000.0000000005</v>
      </c>
      <c r="F39" s="272">
        <f t="shared" si="0"/>
        <v>4297634.4057027521</v>
      </c>
    </row>
    <row r="40" spans="1:6" ht="14.4" x14ac:dyDescent="0.55000000000000004">
      <c r="A40" s="268">
        <v>210051</v>
      </c>
      <c r="B40" s="268" t="s">
        <v>585</v>
      </c>
      <c r="C40" s="385">
        <v>0</v>
      </c>
      <c r="D40" s="385">
        <v>274647.62113709224</v>
      </c>
      <c r="E40" s="602">
        <v>9425649.1499999985</v>
      </c>
      <c r="F40" s="272">
        <f t="shared" si="0"/>
        <v>9700296.7711370904</v>
      </c>
    </row>
    <row r="41" spans="1:6" ht="14.4" x14ac:dyDescent="0.55000000000000004">
      <c r="A41" s="268">
        <v>210056</v>
      </c>
      <c r="B41" s="270" t="s">
        <v>403</v>
      </c>
      <c r="C41" s="385">
        <v>4725287.1870337427</v>
      </c>
      <c r="D41" s="385">
        <v>0</v>
      </c>
      <c r="E41" s="602">
        <v>7178702.8200000003</v>
      </c>
      <c r="F41" s="272">
        <f t="shared" si="0"/>
        <v>11903990.007033743</v>
      </c>
    </row>
    <row r="42" spans="1:6" ht="14.4" x14ac:dyDescent="0.55000000000000004">
      <c r="A42" s="268">
        <v>210057</v>
      </c>
      <c r="B42" s="270" t="s">
        <v>586</v>
      </c>
      <c r="C42" s="385">
        <v>0</v>
      </c>
      <c r="D42" s="385">
        <v>67583.204397545749</v>
      </c>
      <c r="E42" s="602">
        <v>11221258.999999998</v>
      </c>
      <c r="F42" s="272">
        <f t="shared" si="0"/>
        <v>11288842.204397544</v>
      </c>
    </row>
    <row r="43" spans="1:6" ht="14.4" x14ac:dyDescent="0.55000000000000004">
      <c r="A43" s="268">
        <v>210058</v>
      </c>
      <c r="B43" s="270" t="s">
        <v>587</v>
      </c>
      <c r="C43" s="385">
        <v>4059877.7675999999</v>
      </c>
      <c r="D43" s="385">
        <v>0</v>
      </c>
      <c r="E43" s="602">
        <v>1382000</v>
      </c>
      <c r="F43" s="272">
        <f t="shared" si="0"/>
        <v>5441877.7675999999</v>
      </c>
    </row>
    <row r="44" spans="1:6" ht="14.4" x14ac:dyDescent="0.55000000000000004">
      <c r="A44" s="268">
        <v>210060</v>
      </c>
      <c r="B44" s="270" t="s">
        <v>228</v>
      </c>
      <c r="C44" s="385">
        <v>0</v>
      </c>
      <c r="D44" s="385">
        <v>48775.661675817792</v>
      </c>
      <c r="E44" s="602">
        <v>400373.99999999994</v>
      </c>
      <c r="F44" s="272">
        <f t="shared" si="0"/>
        <v>449149.66167581774</v>
      </c>
    </row>
    <row r="45" spans="1:6" ht="14.4" x14ac:dyDescent="0.55000000000000004">
      <c r="A45" s="268">
        <v>210061</v>
      </c>
      <c r="B45" s="270" t="s">
        <v>231</v>
      </c>
      <c r="C45" s="385">
        <v>0</v>
      </c>
      <c r="D45" s="385">
        <v>48775.661675817792</v>
      </c>
      <c r="E45" s="602">
        <v>2080699.9999999998</v>
      </c>
      <c r="F45" s="272">
        <f t="shared" si="0"/>
        <v>2129475.6616758173</v>
      </c>
    </row>
    <row r="46" spans="1:6" ht="14.4" x14ac:dyDescent="0.55000000000000004">
      <c r="A46" s="268">
        <v>210062</v>
      </c>
      <c r="B46" s="270" t="s">
        <v>588</v>
      </c>
      <c r="C46" s="385">
        <v>0</v>
      </c>
      <c r="D46" s="385">
        <v>293106.50483734877</v>
      </c>
      <c r="E46" s="602">
        <v>5442146.6899999995</v>
      </c>
      <c r="F46" s="272">
        <f t="shared" si="0"/>
        <v>5735253.1948373485</v>
      </c>
    </row>
    <row r="47" spans="1:6" ht="14.4" x14ac:dyDescent="0.55000000000000004">
      <c r="A47" s="268">
        <v>210063</v>
      </c>
      <c r="B47" s="270" t="s">
        <v>589</v>
      </c>
      <c r="C47" s="385">
        <v>0</v>
      </c>
      <c r="D47" s="385">
        <v>457635.06515634083</v>
      </c>
      <c r="E47" s="602">
        <v>7456791.7199999988</v>
      </c>
      <c r="F47" s="272">
        <f t="shared" si="0"/>
        <v>7914426.7851563394</v>
      </c>
    </row>
    <row r="48" spans="1:6" ht="14.4" x14ac:dyDescent="0.55000000000000004">
      <c r="A48" s="268">
        <v>210064</v>
      </c>
      <c r="B48" s="270" t="s">
        <v>195</v>
      </c>
      <c r="C48" s="385">
        <v>0</v>
      </c>
      <c r="D48" s="385">
        <v>67583.204397545749</v>
      </c>
      <c r="E48" s="602">
        <v>936020</v>
      </c>
      <c r="F48" s="272">
        <f t="shared" si="0"/>
        <v>1003603.2043975458</v>
      </c>
    </row>
    <row r="49" spans="1:6" ht="14.4" x14ac:dyDescent="0.55000000000000004">
      <c r="A49" s="268">
        <v>210065</v>
      </c>
      <c r="B49" s="270" t="s">
        <v>590</v>
      </c>
      <c r="C49" s="385">
        <v>0</v>
      </c>
      <c r="D49" s="385">
        <v>457635.06515634083</v>
      </c>
      <c r="E49" s="602">
        <v>4804910.22</v>
      </c>
      <c r="F49" s="272">
        <f t="shared" si="0"/>
        <v>5262545.2851563403</v>
      </c>
    </row>
    <row r="50" spans="1:6" ht="14.4" x14ac:dyDescent="0.55000000000000004">
      <c r="A50" s="268">
        <v>213300</v>
      </c>
      <c r="B50" s="270" t="s">
        <v>591</v>
      </c>
      <c r="C50" s="385">
        <v>0</v>
      </c>
      <c r="D50" s="385">
        <v>67837.475493086895</v>
      </c>
      <c r="E50" s="602">
        <v>43123.000000000007</v>
      </c>
      <c r="F50" s="272">
        <f t="shared" si="0"/>
        <v>110960.47549308691</v>
      </c>
    </row>
    <row r="51" spans="1:6" ht="14.4" x14ac:dyDescent="0.55000000000000004">
      <c r="A51" s="268">
        <v>214000</v>
      </c>
      <c r="B51" s="270" t="s">
        <v>196</v>
      </c>
      <c r="C51" s="385">
        <v>2692100.4499999997</v>
      </c>
      <c r="D51" s="385">
        <v>167183.76999999999</v>
      </c>
      <c r="E51" s="602">
        <v>4391731.040000001</v>
      </c>
      <c r="F51" s="272">
        <f t="shared" si="0"/>
        <v>7251015.2600000007</v>
      </c>
    </row>
    <row r="52" spans="1:6" ht="14.4" x14ac:dyDescent="0.55000000000000004">
      <c r="A52" s="268">
        <v>213029</v>
      </c>
      <c r="B52" s="270" t="s">
        <v>592</v>
      </c>
      <c r="C52" s="385">
        <v>0</v>
      </c>
      <c r="D52" s="385">
        <v>0</v>
      </c>
      <c r="E52" s="602">
        <v>0</v>
      </c>
      <c r="F52" s="272">
        <f t="shared" si="0"/>
        <v>0</v>
      </c>
    </row>
    <row r="53" spans="1:6" ht="14.4" x14ac:dyDescent="0.55000000000000004">
      <c r="A53" s="282"/>
      <c r="B53" s="283" t="s">
        <v>192</v>
      </c>
      <c r="C53" s="284">
        <f>SUM(C3:C52)</f>
        <v>354848239.66031098</v>
      </c>
      <c r="D53" s="284">
        <f>SUM(D3:D52)</f>
        <v>18666216.124790296</v>
      </c>
      <c r="E53" s="604">
        <f>SUM(E3:E52)</f>
        <v>332227533.66999644</v>
      </c>
      <c r="F53" s="285">
        <f>SUM(F3:F52)</f>
        <v>705741989.45509768</v>
      </c>
    </row>
    <row r="55" spans="1:6" x14ac:dyDescent="0.4">
      <c r="E55" s="87"/>
    </row>
  </sheetData>
  <sortState xmlns:xlrd2="http://schemas.microsoft.com/office/spreadsheetml/2017/richdata2" ref="A5:F57">
    <sortCondition ref="A5:A57"/>
  </sortState>
  <pageMargins left="0.7" right="0.7" top="0.75" bottom="0.75" header="0.3" footer="0.3"/>
  <pageSetup scale="6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4"/>
  <dimension ref="A1:K156"/>
  <sheetViews>
    <sheetView showGridLines="0" topLeftCell="A136" zoomScale="80" zoomScaleNormal="80" zoomScaleSheetLayoutView="80" workbookViewId="0">
      <selection activeCell="E118" sqref="E118"/>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404</v>
      </c>
      <c r="D5" s="666"/>
      <c r="E5" s="666"/>
      <c r="F5" s="666"/>
      <c r="G5" s="667"/>
    </row>
    <row r="6" spans="1:11" ht="18" customHeight="1" x14ac:dyDescent="0.4">
      <c r="B6" s="1" t="s">
        <v>3</v>
      </c>
      <c r="C6" s="668">
        <v>64</v>
      </c>
      <c r="D6" s="669"/>
      <c r="E6" s="669"/>
      <c r="F6" s="669"/>
      <c r="G6" s="670"/>
    </row>
    <row r="7" spans="1:11" ht="18" customHeight="1" x14ac:dyDescent="0.4">
      <c r="B7" s="1" t="s">
        <v>4</v>
      </c>
      <c r="C7" s="689">
        <v>816</v>
      </c>
      <c r="D7" s="690"/>
      <c r="E7" s="690"/>
      <c r="F7" s="690"/>
      <c r="G7" s="691"/>
    </row>
    <row r="9" spans="1:11" ht="18" customHeight="1" x14ac:dyDescent="0.4">
      <c r="B9" s="1" t="s">
        <v>1</v>
      </c>
      <c r="C9" s="731" t="s">
        <v>292</v>
      </c>
      <c r="D9" s="666"/>
      <c r="E9" s="666"/>
      <c r="F9" s="666"/>
      <c r="G9" s="667"/>
    </row>
    <row r="10" spans="1:11" ht="18" customHeight="1" x14ac:dyDescent="0.4">
      <c r="B10" s="1" t="s">
        <v>2</v>
      </c>
      <c r="C10" s="733" t="s">
        <v>293</v>
      </c>
      <c r="D10" s="661"/>
      <c r="E10" s="661"/>
      <c r="F10" s="661"/>
      <c r="G10" s="662"/>
    </row>
    <row r="11" spans="1:11" ht="18" customHeight="1" x14ac:dyDescent="0.4">
      <c r="B11" s="1" t="s">
        <v>32</v>
      </c>
      <c r="C11" s="682" t="s">
        <v>294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1152662.3</v>
      </c>
      <c r="I18" s="115">
        <v>0</v>
      </c>
      <c r="J18" s="307">
        <v>955292.11</v>
      </c>
      <c r="K18" s="308">
        <f>(H18+I18)-J18</f>
        <v>197370.19000000006</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7</v>
      </c>
      <c r="G21" s="306">
        <v>2</v>
      </c>
      <c r="H21" s="307">
        <v>315</v>
      </c>
      <c r="I21" s="115">
        <f t="shared" ref="I21:I34" si="0">H21*F$114</f>
        <v>245.0385</v>
      </c>
      <c r="J21" s="307"/>
      <c r="K21" s="308">
        <f t="shared" ref="K21:K34" si="1">(H21+I21)-J21</f>
        <v>560.0385</v>
      </c>
    </row>
    <row r="22" spans="1:11" ht="18" customHeight="1" x14ac:dyDescent="0.4">
      <c r="A22" s="1" t="s">
        <v>76</v>
      </c>
      <c r="B22" t="s">
        <v>6</v>
      </c>
      <c r="F22" s="306"/>
      <c r="G22" s="306"/>
      <c r="H22" s="307"/>
      <c r="I22" s="115">
        <f t="shared" si="0"/>
        <v>0</v>
      </c>
      <c r="J22" s="307"/>
      <c r="K22" s="308">
        <f t="shared" si="1"/>
        <v>0</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c r="G25" s="306"/>
      <c r="H25" s="307"/>
      <c r="I25" s="115">
        <f t="shared" si="0"/>
        <v>0</v>
      </c>
      <c r="J25" s="307"/>
      <c r="K25" s="308">
        <f t="shared" si="1"/>
        <v>0</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0</v>
      </c>
      <c r="G29" s="306">
        <v>0</v>
      </c>
      <c r="H29" s="307">
        <v>56535</v>
      </c>
      <c r="I29" s="115">
        <f t="shared" si="0"/>
        <v>43978.576500000003</v>
      </c>
      <c r="J29" s="307"/>
      <c r="K29" s="308">
        <f t="shared" si="1"/>
        <v>100513.5765</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7</v>
      </c>
      <c r="G36" s="310">
        <f t="shared" si="2"/>
        <v>2</v>
      </c>
      <c r="H36" s="310">
        <f t="shared" si="2"/>
        <v>56850</v>
      </c>
      <c r="I36" s="308">
        <f t="shared" si="2"/>
        <v>44223.615000000005</v>
      </c>
      <c r="J36" s="308">
        <f t="shared" si="2"/>
        <v>0</v>
      </c>
      <c r="K36" s="308">
        <f t="shared" si="2"/>
        <v>101073.61499999999</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f>900+960</f>
        <v>1860</v>
      </c>
      <c r="G42" s="306"/>
      <c r="H42" s="307">
        <f>40500+102638</f>
        <v>143138</v>
      </c>
      <c r="I42" s="115">
        <f t="shared" ref="I42" si="4">H42*F$114</f>
        <v>111347.0502</v>
      </c>
      <c r="J42" s="307">
        <v>54081</v>
      </c>
      <c r="K42" s="308">
        <f t="shared" si="3"/>
        <v>200404.0502</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5">SUM(F40:F47)</f>
        <v>1860</v>
      </c>
      <c r="G49" s="312">
        <f t="shared" si="5"/>
        <v>0</v>
      </c>
      <c r="H49" s="308">
        <f t="shared" si="5"/>
        <v>143138</v>
      </c>
      <c r="I49" s="308">
        <f t="shared" si="5"/>
        <v>111347.0502</v>
      </c>
      <c r="J49" s="308">
        <f t="shared" si="5"/>
        <v>54081</v>
      </c>
      <c r="K49" s="308">
        <f t="shared" si="5"/>
        <v>200404.0502</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513</v>
      </c>
      <c r="C53" s="659"/>
      <c r="D53" s="654"/>
      <c r="F53" s="306"/>
      <c r="G53" s="306"/>
      <c r="H53" s="307">
        <v>354709</v>
      </c>
      <c r="I53" s="115">
        <f t="shared" ref="I53" si="6">H53*F$114</f>
        <v>275928.1311</v>
      </c>
      <c r="J53" s="307">
        <v>58028</v>
      </c>
      <c r="K53" s="308">
        <f t="shared" ref="K53:K62" si="7">(H53+I53)-J53</f>
        <v>572609.1311</v>
      </c>
    </row>
    <row r="54" spans="1:11" ht="18" customHeight="1" x14ac:dyDescent="0.4">
      <c r="A54" s="1" t="s">
        <v>93</v>
      </c>
      <c r="B54" s="400" t="s">
        <v>514</v>
      </c>
      <c r="C54" s="401"/>
      <c r="D54" s="402"/>
      <c r="F54" s="306"/>
      <c r="G54" s="306"/>
      <c r="H54" s="307">
        <v>36000</v>
      </c>
      <c r="I54" s="115">
        <v>0</v>
      </c>
      <c r="J54" s="307"/>
      <c r="K54" s="308">
        <f t="shared" si="7"/>
        <v>36000</v>
      </c>
    </row>
    <row r="55" spans="1:11" ht="18" customHeight="1" x14ac:dyDescent="0.4">
      <c r="A55" s="1" t="s">
        <v>94</v>
      </c>
      <c r="B55" s="655"/>
      <c r="C55" s="653"/>
      <c r="D55" s="654"/>
      <c r="F55" s="306"/>
      <c r="G55" s="306"/>
      <c r="H55" s="307"/>
      <c r="I55" s="115">
        <v>0</v>
      </c>
      <c r="J55" s="307"/>
      <c r="K55" s="308">
        <f t="shared" si="7"/>
        <v>0</v>
      </c>
    </row>
    <row r="56" spans="1:11" ht="18" customHeight="1" x14ac:dyDescent="0.4">
      <c r="A56" s="1" t="s">
        <v>95</v>
      </c>
      <c r="B56" s="655"/>
      <c r="C56" s="653"/>
      <c r="D56" s="654"/>
      <c r="F56" s="306"/>
      <c r="G56" s="306"/>
      <c r="H56" s="307"/>
      <c r="I56" s="115">
        <v>0</v>
      </c>
      <c r="J56" s="307"/>
      <c r="K56" s="308">
        <f t="shared" si="7"/>
        <v>0</v>
      </c>
    </row>
    <row r="57" spans="1:11" ht="18" customHeight="1" x14ac:dyDescent="0.4">
      <c r="A57" s="1" t="s">
        <v>96</v>
      </c>
      <c r="B57" s="655"/>
      <c r="C57" s="653"/>
      <c r="D57" s="654"/>
      <c r="F57" s="306"/>
      <c r="G57" s="306"/>
      <c r="H57" s="307"/>
      <c r="I57" s="115">
        <v>0</v>
      </c>
      <c r="J57" s="307"/>
      <c r="K57" s="308">
        <f t="shared" si="7"/>
        <v>0</v>
      </c>
    </row>
    <row r="58" spans="1:11" ht="18" customHeight="1" x14ac:dyDescent="0.4">
      <c r="A58" s="1" t="s">
        <v>97</v>
      </c>
      <c r="B58" s="400"/>
      <c r="C58" s="401"/>
      <c r="D58" s="402"/>
      <c r="F58" s="306"/>
      <c r="G58" s="306"/>
      <c r="H58" s="307"/>
      <c r="I58" s="115">
        <v>0</v>
      </c>
      <c r="J58" s="307"/>
      <c r="K58" s="308">
        <f t="shared" si="7"/>
        <v>0</v>
      </c>
    </row>
    <row r="59" spans="1:11" ht="18" customHeight="1" x14ac:dyDescent="0.4">
      <c r="A59" s="1" t="s">
        <v>98</v>
      </c>
      <c r="B59" s="655"/>
      <c r="C59" s="653"/>
      <c r="D59" s="654"/>
      <c r="F59" s="306"/>
      <c r="G59" s="306"/>
      <c r="H59" s="307"/>
      <c r="I59" s="115">
        <v>0</v>
      </c>
      <c r="J59" s="307"/>
      <c r="K59" s="308">
        <f t="shared" si="7"/>
        <v>0</v>
      </c>
    </row>
    <row r="60" spans="1:11" ht="18" customHeight="1" x14ac:dyDescent="0.4">
      <c r="A60" s="1" t="s">
        <v>99</v>
      </c>
      <c r="B60" s="400"/>
      <c r="C60" s="401"/>
      <c r="D60" s="402"/>
      <c r="F60" s="306"/>
      <c r="G60" s="306"/>
      <c r="H60" s="307"/>
      <c r="I60" s="115">
        <v>0</v>
      </c>
      <c r="J60" s="307"/>
      <c r="K60" s="308">
        <f t="shared" si="7"/>
        <v>0</v>
      </c>
    </row>
    <row r="61" spans="1:11" ht="18" customHeight="1" x14ac:dyDescent="0.4">
      <c r="A61" s="1" t="s">
        <v>100</v>
      </c>
      <c r="B61" s="400"/>
      <c r="C61" s="401"/>
      <c r="D61" s="402"/>
      <c r="F61" s="306"/>
      <c r="G61" s="306"/>
      <c r="H61" s="307"/>
      <c r="I61" s="115">
        <v>0</v>
      </c>
      <c r="J61" s="307"/>
      <c r="K61" s="308">
        <f t="shared" si="7"/>
        <v>0</v>
      </c>
    </row>
    <row r="62" spans="1:11" ht="18" customHeight="1" x14ac:dyDescent="0.4">
      <c r="A62" s="1" t="s">
        <v>101</v>
      </c>
      <c r="B62" s="655"/>
      <c r="C62" s="653"/>
      <c r="D62" s="654"/>
      <c r="F62" s="306"/>
      <c r="G62" s="306"/>
      <c r="H62" s="307"/>
      <c r="I62" s="115">
        <v>0</v>
      </c>
      <c r="J62" s="307"/>
      <c r="K62" s="308">
        <f t="shared" si="7"/>
        <v>0</v>
      </c>
    </row>
    <row r="63" spans="1:11" ht="18" customHeight="1" x14ac:dyDescent="0.4">
      <c r="A63" s="1"/>
      <c r="I63" s="403"/>
    </row>
    <row r="64" spans="1:11" ht="18" customHeight="1" x14ac:dyDescent="0.4">
      <c r="A64" s="1" t="s">
        <v>144</v>
      </c>
      <c r="B64" s="95" t="s">
        <v>145</v>
      </c>
      <c r="E64" s="95" t="s">
        <v>7</v>
      </c>
      <c r="F64" s="310">
        <f t="shared" ref="F64:K64" si="8">SUM(F53:F62)</f>
        <v>0</v>
      </c>
      <c r="G64" s="310">
        <f t="shared" si="8"/>
        <v>0</v>
      </c>
      <c r="H64" s="308">
        <f t="shared" si="8"/>
        <v>390709</v>
      </c>
      <c r="I64" s="308">
        <f t="shared" si="8"/>
        <v>275928.1311</v>
      </c>
      <c r="J64" s="308">
        <f t="shared" si="8"/>
        <v>58028</v>
      </c>
      <c r="K64" s="308">
        <f t="shared" si="8"/>
        <v>608609.1311</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0</v>
      </c>
      <c r="G74" s="411">
        <f t="shared" si="9"/>
        <v>0</v>
      </c>
      <c r="H74" s="411">
        <f t="shared" si="9"/>
        <v>0</v>
      </c>
      <c r="I74" s="412">
        <f t="shared" si="9"/>
        <v>0</v>
      </c>
      <c r="J74" s="411">
        <f t="shared" si="9"/>
        <v>0</v>
      </c>
      <c r="K74" s="308">
        <f t="shared" si="9"/>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25354</v>
      </c>
      <c r="I77" s="115">
        <v>0</v>
      </c>
      <c r="J77" s="307"/>
      <c r="K77" s="308">
        <f>(H77+I77)-J77</f>
        <v>25354</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0</v>
      </c>
      <c r="G82" s="411">
        <f t="shared" si="10"/>
        <v>0</v>
      </c>
      <c r="H82" s="308">
        <f t="shared" si="10"/>
        <v>25354</v>
      </c>
      <c r="I82" s="308">
        <f t="shared" si="10"/>
        <v>0</v>
      </c>
      <c r="J82" s="308">
        <f t="shared" si="10"/>
        <v>0</v>
      </c>
      <c r="K82" s="308">
        <f t="shared" si="10"/>
        <v>25354</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11">H86*F$114</f>
        <v>0</v>
      </c>
      <c r="J86" s="307"/>
      <c r="K86" s="308">
        <f t="shared" ref="K86:K96" si="12">(H86+I86)-J86</f>
        <v>0</v>
      </c>
    </row>
    <row r="87" spans="1:11" ht="18" customHeight="1" x14ac:dyDescent="0.4">
      <c r="A87" s="1" t="s">
        <v>114</v>
      </c>
      <c r="B87" s="94" t="s">
        <v>14</v>
      </c>
      <c r="F87" s="306"/>
      <c r="G87" s="306"/>
      <c r="H87" s="307"/>
      <c r="I87" s="115">
        <f t="shared" si="11"/>
        <v>0</v>
      </c>
      <c r="J87" s="307"/>
      <c r="K87" s="308">
        <f t="shared" si="12"/>
        <v>0</v>
      </c>
    </row>
    <row r="88" spans="1:11" ht="18" customHeight="1" x14ac:dyDescent="0.4">
      <c r="A88" s="1" t="s">
        <v>115</v>
      </c>
      <c r="B88" s="94" t="s">
        <v>116</v>
      </c>
      <c r="F88" s="306"/>
      <c r="G88" s="306"/>
      <c r="H88" s="307"/>
      <c r="I88" s="115">
        <f t="shared" si="11"/>
        <v>0</v>
      </c>
      <c r="J88" s="307"/>
      <c r="K88" s="308">
        <f t="shared" si="12"/>
        <v>0</v>
      </c>
    </row>
    <row r="89" spans="1:11" ht="18" customHeight="1" x14ac:dyDescent="0.4">
      <c r="A89" s="1" t="s">
        <v>117</v>
      </c>
      <c r="B89" s="94" t="s">
        <v>58</v>
      </c>
      <c r="F89" s="306"/>
      <c r="G89" s="306"/>
      <c r="H89" s="307"/>
      <c r="I89" s="115">
        <f t="shared" si="11"/>
        <v>0</v>
      </c>
      <c r="J89" s="307"/>
      <c r="K89" s="308">
        <f t="shared" si="12"/>
        <v>0</v>
      </c>
    </row>
    <row r="90" spans="1:11" ht="18" customHeight="1" x14ac:dyDescent="0.4">
      <c r="A90" s="1" t="s">
        <v>118</v>
      </c>
      <c r="B90" s="635" t="s">
        <v>59</v>
      </c>
      <c r="C90" s="636"/>
      <c r="F90" s="306"/>
      <c r="G90" s="306"/>
      <c r="H90" s="307"/>
      <c r="I90" s="115">
        <f t="shared" si="11"/>
        <v>0</v>
      </c>
      <c r="J90" s="307"/>
      <c r="K90" s="308">
        <f t="shared" si="12"/>
        <v>0</v>
      </c>
    </row>
    <row r="91" spans="1:11" ht="18" customHeight="1" x14ac:dyDescent="0.4">
      <c r="A91" s="1" t="s">
        <v>119</v>
      </c>
      <c r="B91" s="94" t="s">
        <v>60</v>
      </c>
      <c r="F91" s="306"/>
      <c r="G91" s="306"/>
      <c r="H91" s="307"/>
      <c r="I91" s="115">
        <f t="shared" si="11"/>
        <v>0</v>
      </c>
      <c r="J91" s="307"/>
      <c r="K91" s="308">
        <f t="shared" si="12"/>
        <v>0</v>
      </c>
    </row>
    <row r="92" spans="1:11" ht="18" customHeight="1" x14ac:dyDescent="0.4">
      <c r="A92" s="1" t="s">
        <v>120</v>
      </c>
      <c r="B92" s="94" t="s">
        <v>121</v>
      </c>
      <c r="F92" s="107"/>
      <c r="G92" s="107"/>
      <c r="H92" s="108"/>
      <c r="I92" s="115">
        <f t="shared" si="11"/>
        <v>0</v>
      </c>
      <c r="J92" s="108"/>
      <c r="K92" s="308">
        <f t="shared" si="12"/>
        <v>0</v>
      </c>
    </row>
    <row r="93" spans="1:11" ht="18" customHeight="1" x14ac:dyDescent="0.4">
      <c r="A93" s="1" t="s">
        <v>122</v>
      </c>
      <c r="B93" s="94" t="s">
        <v>123</v>
      </c>
      <c r="F93" s="306"/>
      <c r="G93" s="306"/>
      <c r="H93" s="307">
        <v>12649</v>
      </c>
      <c r="I93" s="115">
        <f t="shared" si="11"/>
        <v>9839.6571000000004</v>
      </c>
      <c r="J93" s="307">
        <v>16353</v>
      </c>
      <c r="K93" s="308">
        <f t="shared" si="12"/>
        <v>6135.6571000000004</v>
      </c>
    </row>
    <row r="94" spans="1:11" ht="18" customHeight="1" x14ac:dyDescent="0.4">
      <c r="A94" s="1" t="s">
        <v>124</v>
      </c>
      <c r="B94" s="655"/>
      <c r="C94" s="653"/>
      <c r="D94" s="654"/>
      <c r="F94" s="306"/>
      <c r="G94" s="306"/>
      <c r="H94" s="307"/>
      <c r="I94" s="115">
        <f t="shared" si="11"/>
        <v>0</v>
      </c>
      <c r="J94" s="307"/>
      <c r="K94" s="308">
        <f t="shared" si="12"/>
        <v>0</v>
      </c>
    </row>
    <row r="95" spans="1:11" ht="18" customHeight="1" x14ac:dyDescent="0.4">
      <c r="A95" s="1" t="s">
        <v>125</v>
      </c>
      <c r="B95" s="655"/>
      <c r="C95" s="653"/>
      <c r="D95" s="654"/>
      <c r="F95" s="306"/>
      <c r="G95" s="306"/>
      <c r="H95" s="307"/>
      <c r="I95" s="115">
        <f t="shared" si="11"/>
        <v>0</v>
      </c>
      <c r="J95" s="307"/>
      <c r="K95" s="308">
        <f t="shared" si="12"/>
        <v>0</v>
      </c>
    </row>
    <row r="96" spans="1:11" ht="18" customHeight="1" x14ac:dyDescent="0.4">
      <c r="A96" s="1" t="s">
        <v>126</v>
      </c>
      <c r="B96" s="655"/>
      <c r="C96" s="653"/>
      <c r="D96" s="654"/>
      <c r="F96" s="306"/>
      <c r="G96" s="306"/>
      <c r="H96" s="307"/>
      <c r="I96" s="115">
        <f t="shared" si="11"/>
        <v>0</v>
      </c>
      <c r="J96" s="307"/>
      <c r="K96" s="308">
        <f t="shared" si="12"/>
        <v>0</v>
      </c>
    </row>
    <row r="97" spans="1:11" ht="18" customHeight="1" x14ac:dyDescent="0.4">
      <c r="A97" s="1"/>
      <c r="B97" s="94"/>
    </row>
    <row r="98" spans="1:11" ht="18" customHeight="1" x14ac:dyDescent="0.4">
      <c r="A98" s="98" t="s">
        <v>150</v>
      </c>
      <c r="B98" s="95" t="s">
        <v>151</v>
      </c>
      <c r="E98" s="95" t="s">
        <v>7</v>
      </c>
      <c r="F98" s="310">
        <f t="shared" ref="F98:K98" si="13">SUM(F86:F96)</f>
        <v>0</v>
      </c>
      <c r="G98" s="310">
        <f t="shared" si="13"/>
        <v>0</v>
      </c>
      <c r="H98" s="310">
        <f t="shared" si="13"/>
        <v>12649</v>
      </c>
      <c r="I98" s="310">
        <f t="shared" si="13"/>
        <v>9839.6571000000004</v>
      </c>
      <c r="J98" s="310">
        <f t="shared" si="13"/>
        <v>16353</v>
      </c>
      <c r="K98" s="310">
        <f t="shared" si="13"/>
        <v>6135.6571000000004</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815</v>
      </c>
      <c r="G102" s="306"/>
      <c r="H102" s="307">
        <v>33394</v>
      </c>
      <c r="I102" s="115">
        <f>H102*F$114</f>
        <v>25977.192600000002</v>
      </c>
      <c r="J102" s="307"/>
      <c r="K102" s="308">
        <f>(H102+I102)-J102</f>
        <v>59371.192600000002</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815</v>
      </c>
      <c r="G108" s="310">
        <f t="shared" si="14"/>
        <v>0</v>
      </c>
      <c r="H108" s="308">
        <f t="shared" si="14"/>
        <v>33394</v>
      </c>
      <c r="I108" s="308">
        <f t="shared" si="14"/>
        <v>25977.192600000002</v>
      </c>
      <c r="J108" s="308">
        <f t="shared" si="14"/>
        <v>0</v>
      </c>
      <c r="K108" s="308">
        <f t="shared" si="14"/>
        <v>59371.192600000002</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1597300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0.77790000000000004</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78286000</v>
      </c>
    </row>
    <row r="118" spans="1:6" ht="18" customHeight="1" x14ac:dyDescent="0.4">
      <c r="A118" s="1" t="s">
        <v>173</v>
      </c>
      <c r="B118" t="s">
        <v>18</v>
      </c>
      <c r="F118" s="307">
        <v>5773000</v>
      </c>
    </row>
    <row r="119" spans="1:6" ht="18" customHeight="1" x14ac:dyDescent="0.4">
      <c r="A119" s="1" t="s">
        <v>174</v>
      </c>
      <c r="B119" s="95" t="s">
        <v>19</v>
      </c>
      <c r="F119" s="308">
        <f>SUM(F117:F118)</f>
        <v>84059000</v>
      </c>
    </row>
    <row r="120" spans="1:6" ht="18" customHeight="1" x14ac:dyDescent="0.4">
      <c r="A120" s="1"/>
      <c r="B120" s="95"/>
    </row>
    <row r="121" spans="1:6" ht="18" customHeight="1" x14ac:dyDescent="0.4">
      <c r="A121" s="1" t="s">
        <v>167</v>
      </c>
      <c r="B121" s="95" t="s">
        <v>36</v>
      </c>
      <c r="F121" s="307">
        <v>80197000</v>
      </c>
    </row>
    <row r="122" spans="1:6" ht="18" customHeight="1" x14ac:dyDescent="0.4">
      <c r="A122" s="1"/>
    </row>
    <row r="123" spans="1:6" ht="18" customHeight="1" x14ac:dyDescent="0.4">
      <c r="A123" s="1" t="s">
        <v>175</v>
      </c>
      <c r="B123" s="95" t="s">
        <v>20</v>
      </c>
      <c r="F123" s="307">
        <f>+F119-F121</f>
        <v>3862000</v>
      </c>
    </row>
    <row r="124" spans="1:6" ht="18" customHeight="1" x14ac:dyDescent="0.4">
      <c r="A124" s="1"/>
    </row>
    <row r="125" spans="1:6" ht="18" customHeight="1" x14ac:dyDescent="0.4">
      <c r="A125" s="1" t="s">
        <v>176</v>
      </c>
      <c r="B125" s="95" t="s">
        <v>21</v>
      </c>
      <c r="F125" s="307">
        <v>971000</v>
      </c>
    </row>
    <row r="126" spans="1:6" ht="18" customHeight="1" x14ac:dyDescent="0.4">
      <c r="A126" s="1"/>
    </row>
    <row r="127" spans="1:6" ht="18" customHeight="1" x14ac:dyDescent="0.4">
      <c r="A127" s="1" t="s">
        <v>177</v>
      </c>
      <c r="B127" s="95" t="s">
        <v>22</v>
      </c>
      <c r="F127" s="307">
        <f>+F123+F125</f>
        <v>4833000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5">SUM(F131:F135)</f>
        <v>0</v>
      </c>
      <c r="G137" s="310">
        <f t="shared" si="15"/>
        <v>0</v>
      </c>
      <c r="H137" s="308">
        <f t="shared" si="15"/>
        <v>0</v>
      </c>
      <c r="I137" s="308">
        <f t="shared" si="15"/>
        <v>0</v>
      </c>
      <c r="J137" s="308">
        <f t="shared" si="15"/>
        <v>0</v>
      </c>
      <c r="K137" s="308">
        <f t="shared" si="15"/>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7</v>
      </c>
      <c r="G141" s="109">
        <f t="shared" si="16"/>
        <v>2</v>
      </c>
      <c r="H141" s="109">
        <f t="shared" si="16"/>
        <v>56850</v>
      </c>
      <c r="I141" s="109">
        <f t="shared" si="16"/>
        <v>44223.615000000005</v>
      </c>
      <c r="J141" s="109">
        <f t="shared" si="16"/>
        <v>0</v>
      </c>
      <c r="K141" s="109">
        <f t="shared" si="16"/>
        <v>101073.61499999999</v>
      </c>
    </row>
    <row r="142" spans="1:11" ht="18" customHeight="1" x14ac:dyDescent="0.4">
      <c r="A142" s="1" t="s">
        <v>142</v>
      </c>
      <c r="B142" s="95" t="s">
        <v>65</v>
      </c>
      <c r="F142" s="109">
        <f t="shared" ref="F142:K142" si="17">F49</f>
        <v>1860</v>
      </c>
      <c r="G142" s="109">
        <f t="shared" si="17"/>
        <v>0</v>
      </c>
      <c r="H142" s="109">
        <f t="shared" si="17"/>
        <v>143138</v>
      </c>
      <c r="I142" s="109">
        <f t="shared" si="17"/>
        <v>111347.0502</v>
      </c>
      <c r="J142" s="109">
        <f t="shared" si="17"/>
        <v>54081</v>
      </c>
      <c r="K142" s="109">
        <f t="shared" si="17"/>
        <v>200404.0502</v>
      </c>
    </row>
    <row r="143" spans="1:11" ht="18" customHeight="1" x14ac:dyDescent="0.4">
      <c r="A143" s="1" t="s">
        <v>144</v>
      </c>
      <c r="B143" s="95" t="s">
        <v>66</v>
      </c>
      <c r="F143" s="109">
        <f t="shared" ref="F143:K143" si="18">F64</f>
        <v>0</v>
      </c>
      <c r="G143" s="109">
        <f t="shared" si="18"/>
        <v>0</v>
      </c>
      <c r="H143" s="109">
        <f t="shared" si="18"/>
        <v>390709</v>
      </c>
      <c r="I143" s="109">
        <f t="shared" si="18"/>
        <v>275928.1311</v>
      </c>
      <c r="J143" s="109">
        <f t="shared" si="18"/>
        <v>58028</v>
      </c>
      <c r="K143" s="109">
        <f t="shared" si="18"/>
        <v>608609.1311</v>
      </c>
    </row>
    <row r="144" spans="1:11" ht="18" customHeight="1" x14ac:dyDescent="0.4">
      <c r="A144" s="1" t="s">
        <v>146</v>
      </c>
      <c r="B144" s="95" t="s">
        <v>67</v>
      </c>
      <c r="F144" s="109">
        <f t="shared" ref="F144:K144" si="19">F74</f>
        <v>0</v>
      </c>
      <c r="G144" s="109">
        <f t="shared" si="19"/>
        <v>0</v>
      </c>
      <c r="H144" s="109">
        <f t="shared" si="19"/>
        <v>0</v>
      </c>
      <c r="I144" s="109">
        <f t="shared" si="19"/>
        <v>0</v>
      </c>
      <c r="J144" s="109">
        <f t="shared" si="19"/>
        <v>0</v>
      </c>
      <c r="K144" s="109">
        <f t="shared" si="19"/>
        <v>0</v>
      </c>
    </row>
    <row r="145" spans="1:11" ht="18" customHeight="1" x14ac:dyDescent="0.4">
      <c r="A145" s="1" t="s">
        <v>148</v>
      </c>
      <c r="B145" s="95" t="s">
        <v>68</v>
      </c>
      <c r="F145" s="109">
        <f t="shared" ref="F145:K145" si="20">F82</f>
        <v>0</v>
      </c>
      <c r="G145" s="109">
        <f t="shared" si="20"/>
        <v>0</v>
      </c>
      <c r="H145" s="109">
        <f t="shared" si="20"/>
        <v>25354</v>
      </c>
      <c r="I145" s="109">
        <f t="shared" si="20"/>
        <v>0</v>
      </c>
      <c r="J145" s="109">
        <f t="shared" si="20"/>
        <v>0</v>
      </c>
      <c r="K145" s="109">
        <f t="shared" si="20"/>
        <v>25354</v>
      </c>
    </row>
    <row r="146" spans="1:11" ht="18" customHeight="1" x14ac:dyDescent="0.4">
      <c r="A146" s="1" t="s">
        <v>150</v>
      </c>
      <c r="B146" s="95" t="s">
        <v>69</v>
      </c>
      <c r="F146" s="109">
        <f t="shared" ref="F146:K146" si="21">F98</f>
        <v>0</v>
      </c>
      <c r="G146" s="109">
        <f t="shared" si="21"/>
        <v>0</v>
      </c>
      <c r="H146" s="109">
        <f t="shared" si="21"/>
        <v>12649</v>
      </c>
      <c r="I146" s="109">
        <f t="shared" si="21"/>
        <v>9839.6571000000004</v>
      </c>
      <c r="J146" s="109">
        <f t="shared" si="21"/>
        <v>16353</v>
      </c>
      <c r="K146" s="109">
        <f t="shared" si="21"/>
        <v>6135.6571000000004</v>
      </c>
    </row>
    <row r="147" spans="1:11" ht="18" customHeight="1" x14ac:dyDescent="0.4">
      <c r="A147" s="1" t="s">
        <v>153</v>
      </c>
      <c r="B147" s="95" t="s">
        <v>61</v>
      </c>
      <c r="F147" s="310">
        <f t="shared" ref="F147:K147" si="22">F108</f>
        <v>815</v>
      </c>
      <c r="G147" s="310">
        <f t="shared" si="22"/>
        <v>0</v>
      </c>
      <c r="H147" s="310">
        <f t="shared" si="22"/>
        <v>33394</v>
      </c>
      <c r="I147" s="310">
        <f t="shared" si="22"/>
        <v>25977.192600000002</v>
      </c>
      <c r="J147" s="310">
        <f t="shared" si="22"/>
        <v>0</v>
      </c>
      <c r="K147" s="310">
        <f t="shared" si="22"/>
        <v>59371.192600000002</v>
      </c>
    </row>
    <row r="148" spans="1:11" ht="18" customHeight="1" x14ac:dyDescent="0.4">
      <c r="A148" s="1" t="s">
        <v>155</v>
      </c>
      <c r="B148" s="95" t="s">
        <v>70</v>
      </c>
      <c r="F148" s="110" t="s">
        <v>73</v>
      </c>
      <c r="G148" s="110" t="s">
        <v>73</v>
      </c>
      <c r="H148" s="111" t="s">
        <v>73</v>
      </c>
      <c r="I148" s="111" t="s">
        <v>73</v>
      </c>
      <c r="J148" s="111" t="s">
        <v>73</v>
      </c>
      <c r="K148" s="106">
        <f>F111</f>
        <v>1597300</v>
      </c>
    </row>
    <row r="149" spans="1:11" ht="18" customHeight="1" x14ac:dyDescent="0.4">
      <c r="A149" s="1" t="s">
        <v>163</v>
      </c>
      <c r="B149" s="95" t="s">
        <v>71</v>
      </c>
      <c r="F149" s="310">
        <f t="shared" ref="F149:K149" si="23">F137</f>
        <v>0</v>
      </c>
      <c r="G149" s="310">
        <f t="shared" si="23"/>
        <v>0</v>
      </c>
      <c r="H149" s="310">
        <f t="shared" si="23"/>
        <v>0</v>
      </c>
      <c r="I149" s="310">
        <f t="shared" si="23"/>
        <v>0</v>
      </c>
      <c r="J149" s="310">
        <f t="shared" si="23"/>
        <v>0</v>
      </c>
      <c r="K149" s="310">
        <f t="shared" si="23"/>
        <v>0</v>
      </c>
    </row>
    <row r="150" spans="1:11" ht="18" customHeight="1" x14ac:dyDescent="0.4">
      <c r="A150" s="1" t="s">
        <v>185</v>
      </c>
      <c r="B150" s="95" t="s">
        <v>186</v>
      </c>
      <c r="F150" s="110" t="s">
        <v>73</v>
      </c>
      <c r="G150" s="110" t="s">
        <v>73</v>
      </c>
      <c r="H150" s="310">
        <f>H18</f>
        <v>1152662.3</v>
      </c>
      <c r="I150" s="310">
        <f>I18</f>
        <v>0</v>
      </c>
      <c r="J150" s="310">
        <f>J18</f>
        <v>955292.11</v>
      </c>
      <c r="K150" s="310">
        <f>K18</f>
        <v>197370.19000000006</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2682</v>
      </c>
      <c r="G152" s="114">
        <f t="shared" si="24"/>
        <v>2</v>
      </c>
      <c r="H152" s="114">
        <f t="shared" si="24"/>
        <v>1814756.3</v>
      </c>
      <c r="I152" s="114">
        <f t="shared" si="24"/>
        <v>467315.64600000001</v>
      </c>
      <c r="J152" s="114">
        <f t="shared" si="24"/>
        <v>1083754.1099999999</v>
      </c>
      <c r="K152" s="114">
        <f t="shared" si="24"/>
        <v>2795617.8359999997</v>
      </c>
    </row>
    <row r="154" spans="1:11" ht="18" customHeight="1" x14ac:dyDescent="0.4">
      <c r="A154" s="98" t="s">
        <v>168</v>
      </c>
      <c r="B154" s="95" t="s">
        <v>28</v>
      </c>
      <c r="F154" s="318">
        <f>K152/F121</f>
        <v>3.4859381722508319E-2</v>
      </c>
    </row>
    <row r="155" spans="1:11" ht="18" customHeight="1" x14ac:dyDescent="0.4">
      <c r="A155" s="98" t="s">
        <v>169</v>
      </c>
      <c r="B155" s="95" t="s">
        <v>72</v>
      </c>
      <c r="F155" s="318">
        <f>K152/F127</f>
        <v>0.57844358286778397</v>
      </c>
      <c r="G155" s="95"/>
    </row>
    <row r="156" spans="1:11" ht="18" customHeight="1" x14ac:dyDescent="0.4">
      <c r="G156" s="95"/>
    </row>
  </sheetData>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62:D62"/>
    <mergeCell ref="B57:D57"/>
    <mergeCell ref="B52:C52"/>
    <mergeCell ref="B90:C90"/>
    <mergeCell ref="B53:D53"/>
    <mergeCell ref="B55:D55"/>
    <mergeCell ref="B56:D56"/>
    <mergeCell ref="B59:D59"/>
    <mergeCell ref="B103:C103"/>
    <mergeCell ref="B96:D96"/>
    <mergeCell ref="B95:D95"/>
    <mergeCell ref="B94:D94"/>
    <mergeCell ref="B134:D134"/>
    <mergeCell ref="B135:D135"/>
    <mergeCell ref="B133:D133"/>
    <mergeCell ref="B104:D104"/>
    <mergeCell ref="B105:D105"/>
    <mergeCell ref="B106:D106"/>
  </mergeCells>
  <hyperlinks>
    <hyperlink ref="C11" r:id="rId1" xr:uid="{7ED8A52F-A788-41D3-BDCE-39E663CA32A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5"/>
  <dimension ref="A1:K156"/>
  <sheetViews>
    <sheetView showGridLines="0" view="pageBreakPreview" topLeftCell="A112" zoomScale="85" zoomScaleNormal="50" zoomScaleSheetLayoutView="85" workbookViewId="0">
      <selection activeCell="E16" sqref="E16"/>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410</v>
      </c>
      <c r="D5" s="666"/>
      <c r="E5" s="666"/>
      <c r="F5" s="666"/>
      <c r="G5" s="667"/>
    </row>
    <row r="6" spans="1:11" ht="18" customHeight="1" x14ac:dyDescent="0.4">
      <c r="B6" s="1" t="s">
        <v>3</v>
      </c>
      <c r="C6" s="668">
        <v>65</v>
      </c>
      <c r="D6" s="669"/>
      <c r="E6" s="669"/>
      <c r="F6" s="669"/>
      <c r="G6" s="670"/>
    </row>
    <row r="7" spans="1:11" ht="18" customHeight="1" x14ac:dyDescent="0.4">
      <c r="B7" s="1" t="s">
        <v>4</v>
      </c>
      <c r="C7" s="689">
        <v>735</v>
      </c>
      <c r="D7" s="690"/>
      <c r="E7" s="690"/>
      <c r="F7" s="690"/>
      <c r="G7" s="691"/>
    </row>
    <row r="9" spans="1:11" ht="18" customHeight="1" x14ac:dyDescent="0.4">
      <c r="B9" s="1" t="s">
        <v>1</v>
      </c>
      <c r="C9" s="663" t="s">
        <v>511</v>
      </c>
      <c r="D9" s="666"/>
      <c r="E9" s="666"/>
      <c r="F9" s="666"/>
      <c r="G9" s="667"/>
    </row>
    <row r="10" spans="1:11" ht="18" customHeight="1" x14ac:dyDescent="0.4">
      <c r="B10" s="1" t="s">
        <v>2</v>
      </c>
      <c r="C10" s="660" t="s">
        <v>263</v>
      </c>
      <c r="D10" s="661"/>
      <c r="E10" s="661"/>
      <c r="F10" s="661"/>
      <c r="G10" s="662"/>
    </row>
    <row r="11" spans="1:11" ht="18" customHeight="1" x14ac:dyDescent="0.4">
      <c r="B11" s="1" t="s">
        <v>32</v>
      </c>
      <c r="C11" s="682" t="s">
        <v>264</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2245565.14</v>
      </c>
      <c r="I18" s="115">
        <v>0</v>
      </c>
      <c r="J18" s="307">
        <v>1861057.37</v>
      </c>
      <c r="K18" s="308">
        <f>H18-J18</f>
        <v>384507.77</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1085</v>
      </c>
      <c r="G21" s="306">
        <v>25159</v>
      </c>
      <c r="H21" s="307">
        <v>58696</v>
      </c>
      <c r="I21" s="115">
        <v>9601</v>
      </c>
      <c r="J21" s="307">
        <v>8897</v>
      </c>
      <c r="K21" s="308">
        <f t="shared" ref="K21:K34" si="0">(H21+I21)-J21</f>
        <v>59400</v>
      </c>
    </row>
    <row r="22" spans="1:11" ht="18" customHeight="1" x14ac:dyDescent="0.4">
      <c r="A22" s="1" t="s">
        <v>76</v>
      </c>
      <c r="B22" t="s">
        <v>6</v>
      </c>
      <c r="F22" s="306"/>
      <c r="G22" s="306"/>
      <c r="H22" s="307"/>
      <c r="I22" s="115">
        <f t="shared" ref="I22:I34" si="1">H22*F$114</f>
        <v>0</v>
      </c>
      <c r="J22" s="307"/>
      <c r="K22" s="308">
        <f t="shared" si="0"/>
        <v>0</v>
      </c>
    </row>
    <row r="23" spans="1:11" ht="18" customHeight="1" x14ac:dyDescent="0.4">
      <c r="A23" s="1" t="s">
        <v>77</v>
      </c>
      <c r="B23" t="s">
        <v>43</v>
      </c>
      <c r="F23" s="306"/>
      <c r="G23" s="306"/>
      <c r="H23" s="307"/>
      <c r="I23" s="115">
        <f t="shared" si="1"/>
        <v>0</v>
      </c>
      <c r="J23" s="307"/>
      <c r="K23" s="308">
        <f t="shared" si="0"/>
        <v>0</v>
      </c>
    </row>
    <row r="24" spans="1:11" ht="18" customHeight="1" x14ac:dyDescent="0.4">
      <c r="A24" s="1" t="s">
        <v>78</v>
      </c>
      <c r="B24" t="s">
        <v>44</v>
      </c>
      <c r="F24" s="306"/>
      <c r="G24" s="306"/>
      <c r="H24" s="307"/>
      <c r="I24" s="115">
        <f t="shared" si="1"/>
        <v>0</v>
      </c>
      <c r="J24" s="307"/>
      <c r="K24" s="308">
        <f t="shared" si="0"/>
        <v>0</v>
      </c>
    </row>
    <row r="25" spans="1:11" ht="18" customHeight="1" x14ac:dyDescent="0.4">
      <c r="A25" s="1" t="s">
        <v>79</v>
      </c>
      <c r="B25" t="s">
        <v>5</v>
      </c>
      <c r="F25" s="306"/>
      <c r="G25" s="306"/>
      <c r="H25" s="307"/>
      <c r="I25" s="115">
        <f t="shared" si="1"/>
        <v>0</v>
      </c>
      <c r="J25" s="307"/>
      <c r="K25" s="308">
        <f t="shared" si="0"/>
        <v>0</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v>6239</v>
      </c>
      <c r="G29" s="306">
        <v>2</v>
      </c>
      <c r="H29" s="307">
        <v>180024</v>
      </c>
      <c r="I29" s="115">
        <v>52932</v>
      </c>
      <c r="J29" s="307">
        <v>0</v>
      </c>
      <c r="K29" s="308">
        <f t="shared" si="0"/>
        <v>232956</v>
      </c>
    </row>
    <row r="30" spans="1:11" ht="18" customHeight="1" x14ac:dyDescent="0.4">
      <c r="A30" s="1" t="s">
        <v>84</v>
      </c>
      <c r="B30" s="630"/>
      <c r="C30" s="631"/>
      <c r="D30" s="632"/>
      <c r="F30" s="306"/>
      <c r="G30" s="306"/>
      <c r="H30" s="307"/>
      <c r="I30" s="115">
        <f t="shared" si="1"/>
        <v>0</v>
      </c>
      <c r="J30" s="307"/>
      <c r="K30" s="308">
        <f t="shared" si="0"/>
        <v>0</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7324</v>
      </c>
      <c r="G36" s="310">
        <f t="shared" si="2"/>
        <v>25161</v>
      </c>
      <c r="H36" s="310">
        <f t="shared" si="2"/>
        <v>238720</v>
      </c>
      <c r="I36" s="308">
        <f t="shared" si="2"/>
        <v>62533</v>
      </c>
      <c r="J36" s="308">
        <f t="shared" si="2"/>
        <v>8897</v>
      </c>
      <c r="K36" s="308">
        <f t="shared" si="2"/>
        <v>292356</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v>61</v>
      </c>
      <c r="G41" s="306">
        <v>26</v>
      </c>
      <c r="H41" s="307">
        <v>4015</v>
      </c>
      <c r="I41" s="115">
        <v>1233</v>
      </c>
      <c r="J41" s="307">
        <v>0</v>
      </c>
      <c r="K41" s="308">
        <f t="shared" si="3"/>
        <v>5248</v>
      </c>
    </row>
    <row r="42" spans="1:11" ht="18" customHeight="1" x14ac:dyDescent="0.4">
      <c r="A42" s="1" t="s">
        <v>89</v>
      </c>
      <c r="B42" s="94" t="s">
        <v>11</v>
      </c>
      <c r="F42" s="306"/>
      <c r="G42" s="306"/>
      <c r="H42" s="307"/>
      <c r="I42" s="115">
        <v>0</v>
      </c>
      <c r="J42" s="307"/>
      <c r="K42" s="308">
        <f t="shared" si="3"/>
        <v>0</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61</v>
      </c>
      <c r="G49" s="312">
        <f t="shared" si="4"/>
        <v>26</v>
      </c>
      <c r="H49" s="308">
        <f t="shared" si="4"/>
        <v>4015</v>
      </c>
      <c r="I49" s="308">
        <f t="shared" si="4"/>
        <v>1233</v>
      </c>
      <c r="J49" s="308">
        <f t="shared" si="4"/>
        <v>0</v>
      </c>
      <c r="K49" s="308">
        <f t="shared" si="4"/>
        <v>5248</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295</v>
      </c>
      <c r="C53" s="659"/>
      <c r="D53" s="654"/>
      <c r="F53" s="306">
        <v>0</v>
      </c>
      <c r="G53" s="306">
        <v>0</v>
      </c>
      <c r="H53" s="307">
        <v>1884682</v>
      </c>
      <c r="I53" s="115">
        <v>578598</v>
      </c>
      <c r="J53" s="307">
        <v>0</v>
      </c>
      <c r="K53" s="308">
        <f t="shared" ref="K53:K62" si="5">(H53+I53)-J53</f>
        <v>2463280</v>
      </c>
    </row>
    <row r="54" spans="1:11" ht="18" customHeight="1" x14ac:dyDescent="0.4">
      <c r="A54" s="1" t="s">
        <v>93</v>
      </c>
      <c r="B54" s="400" t="s">
        <v>512</v>
      </c>
      <c r="C54" s="401"/>
      <c r="D54" s="402"/>
      <c r="F54" s="306">
        <v>2360</v>
      </c>
      <c r="G54" s="306">
        <v>14825</v>
      </c>
      <c r="H54" s="307">
        <v>22055</v>
      </c>
      <c r="I54" s="115">
        <v>89847</v>
      </c>
      <c r="J54" s="307">
        <v>0</v>
      </c>
      <c r="K54" s="308">
        <f t="shared" si="5"/>
        <v>111902</v>
      </c>
    </row>
    <row r="55" spans="1:11" ht="18" customHeight="1" x14ac:dyDescent="0.4">
      <c r="A55" s="1" t="s">
        <v>94</v>
      </c>
      <c r="B55" s="655"/>
      <c r="C55" s="653"/>
      <c r="D55" s="654"/>
      <c r="F55" s="306"/>
      <c r="G55" s="306"/>
      <c r="H55" s="307"/>
      <c r="I55" s="115">
        <v>0</v>
      </c>
      <c r="J55" s="307"/>
      <c r="K55" s="308">
        <f t="shared" si="5"/>
        <v>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c r="C57" s="653"/>
      <c r="D57" s="654"/>
      <c r="F57" s="306"/>
      <c r="G57" s="306"/>
      <c r="H57" s="307"/>
      <c r="I57" s="115">
        <v>0</v>
      </c>
      <c r="J57" s="307"/>
      <c r="K57" s="308">
        <f t="shared" si="5"/>
        <v>0</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2360</v>
      </c>
      <c r="G64" s="310">
        <f t="shared" si="6"/>
        <v>14825</v>
      </c>
      <c r="H64" s="308">
        <f t="shared" si="6"/>
        <v>1906737</v>
      </c>
      <c r="I64" s="308">
        <f t="shared" si="6"/>
        <v>668445</v>
      </c>
      <c r="J64" s="308">
        <f t="shared" si="6"/>
        <v>0</v>
      </c>
      <c r="K64" s="308">
        <f t="shared" si="6"/>
        <v>2575182</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c r="I77" s="115">
        <v>0</v>
      </c>
      <c r="J77" s="307"/>
      <c r="K77" s="308">
        <f>(H77+I77)-J77</f>
        <v>0</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c r="G79" s="306"/>
      <c r="H79" s="307"/>
      <c r="I79" s="115">
        <v>0</v>
      </c>
      <c r="J79" s="307"/>
      <c r="K79" s="308">
        <f>(H79+I79)-J79</f>
        <v>0</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0</v>
      </c>
      <c r="G82" s="411">
        <f t="shared" si="8"/>
        <v>0</v>
      </c>
      <c r="H82" s="308">
        <f t="shared" si="8"/>
        <v>0</v>
      </c>
      <c r="I82" s="308">
        <f t="shared" si="8"/>
        <v>0</v>
      </c>
      <c r="J82" s="308">
        <f t="shared" si="8"/>
        <v>0</v>
      </c>
      <c r="K82" s="308">
        <f t="shared" si="8"/>
        <v>0</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c r="G88" s="306"/>
      <c r="H88" s="307"/>
      <c r="I88" s="115">
        <f t="shared" si="9"/>
        <v>0</v>
      </c>
      <c r="J88" s="307"/>
      <c r="K88" s="308">
        <f t="shared" si="10"/>
        <v>0</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c r="G91" s="306"/>
      <c r="H91" s="307"/>
      <c r="I91" s="115">
        <f t="shared" si="9"/>
        <v>0</v>
      </c>
      <c r="J91" s="307"/>
      <c r="K91" s="308">
        <f t="shared" si="10"/>
        <v>0</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0</v>
      </c>
      <c r="G98" s="310">
        <f t="shared" si="11"/>
        <v>0</v>
      </c>
      <c r="H98" s="310">
        <f t="shared" si="11"/>
        <v>0</v>
      </c>
      <c r="I98" s="310">
        <f t="shared" si="11"/>
        <v>0</v>
      </c>
      <c r="J98" s="310">
        <f t="shared" si="11"/>
        <v>0</v>
      </c>
      <c r="K98" s="310">
        <f t="shared" si="11"/>
        <v>0</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348</v>
      </c>
      <c r="G102" s="306">
        <v>0</v>
      </c>
      <c r="H102" s="307">
        <v>34812</v>
      </c>
      <c r="I102" s="115">
        <v>10692</v>
      </c>
      <c r="J102" s="307">
        <v>0</v>
      </c>
      <c r="K102" s="308">
        <f>(H102+I102)-J102</f>
        <v>45504</v>
      </c>
    </row>
    <row r="103" spans="1:11" ht="18" customHeight="1" x14ac:dyDescent="0.4">
      <c r="A103" s="1" t="s">
        <v>132</v>
      </c>
      <c r="B103" s="635" t="s">
        <v>62</v>
      </c>
      <c r="C103" s="635"/>
      <c r="F103" s="306">
        <v>5</v>
      </c>
      <c r="G103" s="306">
        <v>3</v>
      </c>
      <c r="H103" s="307">
        <v>404</v>
      </c>
      <c r="I103" s="115">
        <v>124</v>
      </c>
      <c r="J103" s="307">
        <v>0</v>
      </c>
      <c r="K103" s="308">
        <f>(H103+I103)-J103</f>
        <v>528</v>
      </c>
    </row>
    <row r="104" spans="1:11" ht="18" customHeight="1" x14ac:dyDescent="0.4">
      <c r="A104" s="1" t="s">
        <v>128</v>
      </c>
      <c r="B104" s="655" t="s">
        <v>298</v>
      </c>
      <c r="C104" s="653"/>
      <c r="D104" s="654"/>
      <c r="F104" s="306">
        <v>0</v>
      </c>
      <c r="G104" s="306">
        <v>0</v>
      </c>
      <c r="H104" s="307">
        <v>960</v>
      </c>
      <c r="I104" s="115">
        <v>0</v>
      </c>
      <c r="J104" s="307">
        <v>0</v>
      </c>
      <c r="K104" s="308">
        <f>(H104+I104)-J104</f>
        <v>960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353</v>
      </c>
      <c r="G108" s="310">
        <f t="shared" si="12"/>
        <v>3</v>
      </c>
      <c r="H108" s="308">
        <f t="shared" si="12"/>
        <v>36176</v>
      </c>
      <c r="I108" s="308">
        <f t="shared" si="12"/>
        <v>10816</v>
      </c>
      <c r="J108" s="308">
        <f t="shared" si="12"/>
        <v>0</v>
      </c>
      <c r="K108" s="308">
        <f t="shared" si="12"/>
        <v>46992</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4811636</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0.307</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101274989</v>
      </c>
    </row>
    <row r="118" spans="1:6" ht="18" customHeight="1" x14ac:dyDescent="0.4">
      <c r="A118" s="1" t="s">
        <v>173</v>
      </c>
      <c r="B118" t="s">
        <v>18</v>
      </c>
      <c r="F118" s="307">
        <v>1975623</v>
      </c>
    </row>
    <row r="119" spans="1:6" ht="18" customHeight="1" x14ac:dyDescent="0.4">
      <c r="A119" s="1" t="s">
        <v>174</v>
      </c>
      <c r="B119" s="95" t="s">
        <v>19</v>
      </c>
      <c r="F119" s="308">
        <f>SUM(F117:F118)</f>
        <v>103250612</v>
      </c>
    </row>
    <row r="120" spans="1:6" ht="18" customHeight="1" x14ac:dyDescent="0.4">
      <c r="A120" s="1"/>
      <c r="B120" s="95"/>
    </row>
    <row r="121" spans="1:6" ht="18" customHeight="1" x14ac:dyDescent="0.4">
      <c r="A121" s="1" t="s">
        <v>167</v>
      </c>
      <c r="B121" s="95" t="s">
        <v>36</v>
      </c>
      <c r="F121" s="307">
        <v>108611245</v>
      </c>
    </row>
    <row r="122" spans="1:6" ht="18" customHeight="1" x14ac:dyDescent="0.4">
      <c r="A122" s="1"/>
    </row>
    <row r="123" spans="1:6" ht="18" customHeight="1" x14ac:dyDescent="0.4">
      <c r="A123" s="1" t="s">
        <v>175</v>
      </c>
      <c r="B123" s="95" t="s">
        <v>20</v>
      </c>
      <c r="F123" s="307">
        <v>-5360633</v>
      </c>
    </row>
    <row r="124" spans="1:6" ht="18" customHeight="1" x14ac:dyDescent="0.4">
      <c r="A124" s="1"/>
    </row>
    <row r="125" spans="1:6" ht="18" customHeight="1" x14ac:dyDescent="0.4">
      <c r="A125" s="1" t="s">
        <v>176</v>
      </c>
      <c r="B125" s="95" t="s">
        <v>21</v>
      </c>
      <c r="F125" s="307">
        <v>-473240</v>
      </c>
    </row>
    <row r="126" spans="1:6" ht="18" customHeight="1" x14ac:dyDescent="0.4">
      <c r="A126" s="1"/>
    </row>
    <row r="127" spans="1:6" ht="18" customHeight="1" x14ac:dyDescent="0.4">
      <c r="A127" s="1" t="s">
        <v>177</v>
      </c>
      <c r="B127" s="95" t="s">
        <v>22</v>
      </c>
      <c r="F127" s="307">
        <v>-5833873</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7324</v>
      </c>
      <c r="G141" s="109">
        <f t="shared" si="14"/>
        <v>25161</v>
      </c>
      <c r="H141" s="109">
        <f t="shared" si="14"/>
        <v>238720</v>
      </c>
      <c r="I141" s="109">
        <f t="shared" si="14"/>
        <v>62533</v>
      </c>
      <c r="J141" s="109">
        <f t="shared" si="14"/>
        <v>8897</v>
      </c>
      <c r="K141" s="109">
        <f t="shared" si="14"/>
        <v>292356</v>
      </c>
    </row>
    <row r="142" spans="1:11" ht="18" customHeight="1" x14ac:dyDescent="0.4">
      <c r="A142" s="1" t="s">
        <v>142</v>
      </c>
      <c r="B142" s="95" t="s">
        <v>65</v>
      </c>
      <c r="F142" s="109">
        <f t="shared" ref="F142:K142" si="15">F49</f>
        <v>61</v>
      </c>
      <c r="G142" s="109">
        <f t="shared" si="15"/>
        <v>26</v>
      </c>
      <c r="H142" s="109">
        <f t="shared" si="15"/>
        <v>4015</v>
      </c>
      <c r="I142" s="109">
        <f t="shared" si="15"/>
        <v>1233</v>
      </c>
      <c r="J142" s="109">
        <f t="shared" si="15"/>
        <v>0</v>
      </c>
      <c r="K142" s="109">
        <f t="shared" si="15"/>
        <v>5248</v>
      </c>
    </row>
    <row r="143" spans="1:11" ht="18" customHeight="1" x14ac:dyDescent="0.4">
      <c r="A143" s="1" t="s">
        <v>144</v>
      </c>
      <c r="B143" s="95" t="s">
        <v>66</v>
      </c>
      <c r="F143" s="109">
        <f t="shared" ref="F143:K143" si="16">F64</f>
        <v>2360</v>
      </c>
      <c r="G143" s="109">
        <f t="shared" si="16"/>
        <v>14825</v>
      </c>
      <c r="H143" s="109">
        <f t="shared" si="16"/>
        <v>1906737</v>
      </c>
      <c r="I143" s="109">
        <f t="shared" si="16"/>
        <v>668445</v>
      </c>
      <c r="J143" s="109">
        <f t="shared" si="16"/>
        <v>0</v>
      </c>
      <c r="K143" s="109">
        <f t="shared" si="16"/>
        <v>2575182</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0</v>
      </c>
      <c r="G145" s="109">
        <f t="shared" si="18"/>
        <v>0</v>
      </c>
      <c r="H145" s="109">
        <f t="shared" si="18"/>
        <v>0</v>
      </c>
      <c r="I145" s="109">
        <f t="shared" si="18"/>
        <v>0</v>
      </c>
      <c r="J145" s="109">
        <f t="shared" si="18"/>
        <v>0</v>
      </c>
      <c r="K145" s="109">
        <f t="shared" si="18"/>
        <v>0</v>
      </c>
    </row>
    <row r="146" spans="1:11" ht="18" customHeight="1" x14ac:dyDescent="0.4">
      <c r="A146" s="1" t="s">
        <v>150</v>
      </c>
      <c r="B146" s="95" t="s">
        <v>69</v>
      </c>
      <c r="F146" s="109">
        <f t="shared" ref="F146:K146" si="19">F98</f>
        <v>0</v>
      </c>
      <c r="G146" s="109">
        <f t="shared" si="19"/>
        <v>0</v>
      </c>
      <c r="H146" s="109">
        <f t="shared" si="19"/>
        <v>0</v>
      </c>
      <c r="I146" s="109">
        <f t="shared" si="19"/>
        <v>0</v>
      </c>
      <c r="J146" s="109">
        <f t="shared" si="19"/>
        <v>0</v>
      </c>
      <c r="K146" s="109">
        <f t="shared" si="19"/>
        <v>0</v>
      </c>
    </row>
    <row r="147" spans="1:11" ht="18" customHeight="1" x14ac:dyDescent="0.4">
      <c r="A147" s="1" t="s">
        <v>153</v>
      </c>
      <c r="B147" s="95" t="s">
        <v>61</v>
      </c>
      <c r="F147" s="310">
        <f t="shared" ref="F147:K147" si="20">F108</f>
        <v>353</v>
      </c>
      <c r="G147" s="310">
        <f t="shared" si="20"/>
        <v>3</v>
      </c>
      <c r="H147" s="310">
        <f t="shared" si="20"/>
        <v>36176</v>
      </c>
      <c r="I147" s="310">
        <f t="shared" si="20"/>
        <v>10816</v>
      </c>
      <c r="J147" s="310">
        <f t="shared" si="20"/>
        <v>0</v>
      </c>
      <c r="K147" s="310">
        <f t="shared" si="20"/>
        <v>46992</v>
      </c>
    </row>
    <row r="148" spans="1:11" ht="18" customHeight="1" x14ac:dyDescent="0.4">
      <c r="A148" s="1" t="s">
        <v>155</v>
      </c>
      <c r="B148" s="95" t="s">
        <v>70</v>
      </c>
      <c r="F148" s="110" t="s">
        <v>73</v>
      </c>
      <c r="G148" s="110" t="s">
        <v>73</v>
      </c>
      <c r="H148" s="111" t="s">
        <v>73</v>
      </c>
      <c r="I148" s="111" t="s">
        <v>73</v>
      </c>
      <c r="J148" s="111" t="s">
        <v>73</v>
      </c>
      <c r="K148" s="106">
        <f>F111</f>
        <v>4811636</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2245565.14</v>
      </c>
      <c r="I150" s="310">
        <f>I18</f>
        <v>0</v>
      </c>
      <c r="J150" s="310">
        <f>J18</f>
        <v>1861057.37</v>
      </c>
      <c r="K150" s="310">
        <f>K18</f>
        <v>384507.77</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10098</v>
      </c>
      <c r="G152" s="114">
        <f t="shared" si="22"/>
        <v>40015</v>
      </c>
      <c r="H152" s="114">
        <f t="shared" si="22"/>
        <v>4431213.1400000006</v>
      </c>
      <c r="I152" s="114">
        <f t="shared" si="22"/>
        <v>743027</v>
      </c>
      <c r="J152" s="114">
        <f t="shared" si="22"/>
        <v>1869954.37</v>
      </c>
      <c r="K152" s="114">
        <f t="shared" si="22"/>
        <v>8115921.7699999996</v>
      </c>
    </row>
    <row r="154" spans="1:11" ht="18" customHeight="1" x14ac:dyDescent="0.4">
      <c r="A154" s="98" t="s">
        <v>168</v>
      </c>
      <c r="B154" s="95" t="s">
        <v>28</v>
      </c>
      <c r="F154" s="318">
        <f>K152/F121</f>
        <v>7.4724507301246745E-2</v>
      </c>
    </row>
    <row r="155" spans="1:11" ht="18" customHeight="1" x14ac:dyDescent="0.4">
      <c r="A155" s="98" t="s">
        <v>169</v>
      </c>
      <c r="B155" s="95" t="s">
        <v>72</v>
      </c>
      <c r="F155" s="318">
        <f>K152/F127</f>
        <v>-1.3911721715573855</v>
      </c>
      <c r="G155" s="95"/>
    </row>
    <row r="156" spans="1:11" ht="18" customHeight="1" x14ac:dyDescent="0.4">
      <c r="G156" s="95"/>
    </row>
  </sheetData>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xr:uid="{92CE7103-11B6-43EF-A1C9-CC520A47566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6"/>
  <dimension ref="A1:M156"/>
  <sheetViews>
    <sheetView showGridLines="0" topLeftCell="A139" zoomScale="80" zoomScaleNormal="80" zoomScaleSheetLayoutView="50" workbookViewId="0">
      <selection activeCell="D17" sqref="D17"/>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style="87" customWidth="1"/>
    <col min="10" max="10" width="19.83203125" customWidth="1"/>
    <col min="11" max="11" width="17.5546875" customWidth="1"/>
  </cols>
  <sheetData>
    <row r="1" spans="1:11" ht="18" customHeight="1" x14ac:dyDescent="0.4">
      <c r="C1" s="97"/>
      <c r="D1" s="96"/>
      <c r="E1" s="97"/>
      <c r="F1" s="97"/>
      <c r="G1" s="97"/>
      <c r="H1" s="97"/>
      <c r="I1" s="560"/>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731" t="s">
        <v>447</v>
      </c>
      <c r="D5" s="669"/>
      <c r="E5" s="669"/>
      <c r="F5" s="669"/>
      <c r="G5" s="670"/>
    </row>
    <row r="6" spans="1:11" ht="18" customHeight="1" x14ac:dyDescent="0.4">
      <c r="B6" s="1" t="s">
        <v>3</v>
      </c>
      <c r="C6" s="731">
        <v>210058</v>
      </c>
      <c r="D6" s="669"/>
      <c r="E6" s="669"/>
      <c r="F6" s="669"/>
      <c r="G6" s="670"/>
    </row>
    <row r="7" spans="1:11" ht="18" customHeight="1" x14ac:dyDescent="0.4">
      <c r="B7" s="1" t="s">
        <v>4</v>
      </c>
      <c r="C7" s="810">
        <v>624</v>
      </c>
      <c r="D7" s="811"/>
      <c r="E7" s="811"/>
      <c r="F7" s="811"/>
      <c r="G7" s="812"/>
    </row>
    <row r="9" spans="1:11" ht="18" customHeight="1" x14ac:dyDescent="0.4">
      <c r="B9" s="1" t="s">
        <v>1</v>
      </c>
      <c r="C9" s="731" t="s">
        <v>481</v>
      </c>
      <c r="D9" s="669"/>
      <c r="E9" s="669"/>
      <c r="F9" s="669"/>
      <c r="G9" s="670"/>
    </row>
    <row r="10" spans="1:11" ht="18" customHeight="1" x14ac:dyDescent="0.4">
      <c r="B10" s="1" t="s">
        <v>2</v>
      </c>
      <c r="C10" s="731" t="s">
        <v>482</v>
      </c>
      <c r="D10" s="669"/>
      <c r="E10" s="669"/>
      <c r="F10" s="669"/>
      <c r="G10" s="670"/>
    </row>
    <row r="11" spans="1:11" ht="18" customHeight="1" x14ac:dyDescent="0.4">
      <c r="B11" s="1" t="s">
        <v>32</v>
      </c>
      <c r="C11" s="731" t="s">
        <v>483</v>
      </c>
      <c r="D11" s="669"/>
      <c r="E11" s="669"/>
      <c r="F11" s="669"/>
      <c r="G11" s="670"/>
    </row>
    <row r="12" spans="1:11" ht="18" customHeight="1" x14ac:dyDescent="0.4">
      <c r="B12" s="1"/>
      <c r="C12" s="1"/>
      <c r="D12" s="1"/>
      <c r="E12" s="1"/>
      <c r="F12" s="1"/>
      <c r="G12" s="1"/>
    </row>
    <row r="13" spans="1:11" ht="24.7" customHeight="1" x14ac:dyDescent="0.4">
      <c r="B13" s="637"/>
      <c r="C13" s="638"/>
      <c r="D13" s="638"/>
      <c r="E13" s="638"/>
      <c r="F13" s="638"/>
      <c r="G13" s="638"/>
      <c r="H13" s="639"/>
      <c r="I13" s="560"/>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230"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2403072.4700000002</v>
      </c>
      <c r="I18" s="229">
        <v>0</v>
      </c>
      <c r="J18" s="307">
        <v>1991594.74</v>
      </c>
      <c r="K18" s="308">
        <f>(H18+I18)-J18</f>
        <v>411477.73000000021</v>
      </c>
    </row>
    <row r="19" spans="1:11" ht="45" customHeight="1" x14ac:dyDescent="0.4">
      <c r="A19" s="96" t="s">
        <v>8</v>
      </c>
      <c r="B19" s="97"/>
      <c r="C19" s="97"/>
      <c r="D19" s="97"/>
      <c r="E19" s="97"/>
      <c r="F19" s="99" t="s">
        <v>9</v>
      </c>
      <c r="G19" s="99" t="s">
        <v>37</v>
      </c>
      <c r="H19" s="99" t="s">
        <v>29</v>
      </c>
      <c r="I19" s="230" t="s">
        <v>30</v>
      </c>
      <c r="J19" s="99" t="s">
        <v>33</v>
      </c>
      <c r="K19" s="99" t="s">
        <v>34</v>
      </c>
    </row>
    <row r="20" spans="1:11" ht="18" customHeight="1" x14ac:dyDescent="0.4">
      <c r="A20" s="98" t="s">
        <v>74</v>
      </c>
      <c r="B20" s="95" t="s">
        <v>41</v>
      </c>
    </row>
    <row r="21" spans="1:11" ht="18" customHeight="1" x14ac:dyDescent="0.4">
      <c r="A21" s="1" t="s">
        <v>75</v>
      </c>
      <c r="B21" s="94" t="s">
        <v>42</v>
      </c>
      <c r="F21" s="306">
        <v>541</v>
      </c>
      <c r="G21" s="306">
        <v>613</v>
      </c>
      <c r="H21" s="307">
        <v>51241</v>
      </c>
      <c r="I21" s="229">
        <f t="shared" ref="I21:I34" si="0">H21*F$114</f>
        <v>27670.140000000003</v>
      </c>
      <c r="J21" s="307">
        <v>0</v>
      </c>
      <c r="K21" s="308">
        <f t="shared" ref="K21:K34" si="1">(H21+I21)-J21</f>
        <v>78911.14</v>
      </c>
    </row>
    <row r="22" spans="1:11" ht="18" customHeight="1" x14ac:dyDescent="0.4">
      <c r="A22" s="1" t="s">
        <v>76</v>
      </c>
      <c r="B22" t="s">
        <v>6</v>
      </c>
      <c r="F22" s="306"/>
      <c r="G22" s="306"/>
      <c r="H22" s="307"/>
      <c r="I22" s="229">
        <f t="shared" si="0"/>
        <v>0</v>
      </c>
      <c r="J22" s="307"/>
      <c r="K22" s="308">
        <f t="shared" si="1"/>
        <v>0</v>
      </c>
    </row>
    <row r="23" spans="1:11" ht="18" customHeight="1" x14ac:dyDescent="0.4">
      <c r="A23" s="1" t="s">
        <v>77</v>
      </c>
      <c r="B23" t="s">
        <v>43</v>
      </c>
      <c r="F23" s="306"/>
      <c r="G23" s="306"/>
      <c r="H23" s="307"/>
      <c r="I23" s="229">
        <f t="shared" si="0"/>
        <v>0</v>
      </c>
      <c r="J23" s="307"/>
      <c r="K23" s="308">
        <f t="shared" si="1"/>
        <v>0</v>
      </c>
    </row>
    <row r="24" spans="1:11" ht="18" customHeight="1" x14ac:dyDescent="0.4">
      <c r="A24" s="1" t="s">
        <v>78</v>
      </c>
      <c r="B24" t="s">
        <v>44</v>
      </c>
      <c r="F24" s="306"/>
      <c r="G24" s="306"/>
      <c r="H24" s="307"/>
      <c r="I24" s="229">
        <f t="shared" si="0"/>
        <v>0</v>
      </c>
      <c r="J24" s="307"/>
      <c r="K24" s="308">
        <f t="shared" si="1"/>
        <v>0</v>
      </c>
    </row>
    <row r="25" spans="1:11" ht="18" customHeight="1" x14ac:dyDescent="0.4">
      <c r="A25" s="1" t="s">
        <v>79</v>
      </c>
      <c r="B25" t="s">
        <v>5</v>
      </c>
      <c r="F25" s="306"/>
      <c r="G25" s="306"/>
      <c r="H25" s="307"/>
      <c r="I25" s="229">
        <f t="shared" si="0"/>
        <v>0</v>
      </c>
      <c r="J25" s="307"/>
      <c r="K25" s="308">
        <f t="shared" si="1"/>
        <v>0</v>
      </c>
    </row>
    <row r="26" spans="1:11" ht="18" customHeight="1" x14ac:dyDescent="0.4">
      <c r="A26" s="1" t="s">
        <v>80</v>
      </c>
      <c r="B26" t="s">
        <v>45</v>
      </c>
      <c r="F26" s="306"/>
      <c r="G26" s="306"/>
      <c r="H26" s="307"/>
      <c r="I26" s="229">
        <f t="shared" si="0"/>
        <v>0</v>
      </c>
      <c r="J26" s="307"/>
      <c r="K26" s="308">
        <f t="shared" si="1"/>
        <v>0</v>
      </c>
    </row>
    <row r="27" spans="1:11" ht="18" customHeight="1" x14ac:dyDescent="0.4">
      <c r="A27" s="1" t="s">
        <v>81</v>
      </c>
      <c r="B27" t="s">
        <v>455</v>
      </c>
      <c r="F27" s="306"/>
      <c r="G27" s="306"/>
      <c r="H27" s="307"/>
      <c r="I27" s="229">
        <f t="shared" si="0"/>
        <v>0</v>
      </c>
      <c r="J27" s="307"/>
      <c r="K27" s="308">
        <f t="shared" si="1"/>
        <v>0</v>
      </c>
    </row>
    <row r="28" spans="1:11" ht="18" customHeight="1" x14ac:dyDescent="0.4">
      <c r="A28" s="1" t="s">
        <v>82</v>
      </c>
      <c r="B28" t="s">
        <v>47</v>
      </c>
      <c r="F28" s="306"/>
      <c r="G28" s="306"/>
      <c r="H28" s="307"/>
      <c r="I28" s="229">
        <f t="shared" si="0"/>
        <v>0</v>
      </c>
      <c r="J28" s="307"/>
      <c r="K28" s="308">
        <f t="shared" si="1"/>
        <v>0</v>
      </c>
    </row>
    <row r="29" spans="1:11" ht="18" customHeight="1" x14ac:dyDescent="0.4">
      <c r="A29" s="1" t="s">
        <v>83</v>
      </c>
      <c r="B29" t="s">
        <v>48</v>
      </c>
      <c r="F29" s="306">
        <v>467</v>
      </c>
      <c r="G29" s="306">
        <v>925</v>
      </c>
      <c r="H29" s="307">
        <v>23721</v>
      </c>
      <c r="I29" s="229">
        <f t="shared" si="0"/>
        <v>12809.34</v>
      </c>
      <c r="J29" s="307">
        <v>0</v>
      </c>
      <c r="K29" s="351">
        <f t="shared" si="1"/>
        <v>36530.339999999997</v>
      </c>
    </row>
    <row r="30" spans="1:11" ht="18" customHeight="1" x14ac:dyDescent="0.4">
      <c r="A30" s="1" t="s">
        <v>84</v>
      </c>
      <c r="B30" s="813"/>
      <c r="C30" s="814"/>
      <c r="D30" s="815"/>
      <c r="F30" s="311"/>
      <c r="G30" s="311"/>
      <c r="H30" s="352"/>
      <c r="I30" s="488">
        <f t="shared" si="0"/>
        <v>0</v>
      </c>
      <c r="J30" s="352"/>
      <c r="K30" s="353">
        <f t="shared" si="1"/>
        <v>0</v>
      </c>
    </row>
    <row r="31" spans="1:11" ht="18" customHeight="1" x14ac:dyDescent="0.4">
      <c r="A31" s="1" t="s">
        <v>133</v>
      </c>
      <c r="B31" s="813"/>
      <c r="C31" s="814"/>
      <c r="D31" s="815"/>
      <c r="F31" s="311"/>
      <c r="G31" s="311"/>
      <c r="H31" s="352"/>
      <c r="I31" s="488">
        <f t="shared" si="0"/>
        <v>0</v>
      </c>
      <c r="J31" s="352"/>
      <c r="K31" s="353">
        <f t="shared" si="1"/>
        <v>0</v>
      </c>
    </row>
    <row r="32" spans="1:11" ht="18" customHeight="1" x14ac:dyDescent="0.4">
      <c r="A32" s="1" t="s">
        <v>134</v>
      </c>
      <c r="B32" s="813"/>
      <c r="C32" s="814"/>
      <c r="D32" s="815"/>
      <c r="F32" s="311"/>
      <c r="G32" s="338" t="s">
        <v>85</v>
      </c>
      <c r="H32" s="352"/>
      <c r="I32" s="488">
        <f t="shared" si="0"/>
        <v>0</v>
      </c>
      <c r="J32" s="352"/>
      <c r="K32" s="353">
        <f t="shared" si="1"/>
        <v>0</v>
      </c>
    </row>
    <row r="33" spans="1:11" ht="18" customHeight="1" x14ac:dyDescent="0.4">
      <c r="A33" s="1" t="s">
        <v>135</v>
      </c>
      <c r="B33" s="394"/>
      <c r="C33" s="395"/>
      <c r="D33" s="396"/>
      <c r="F33" s="306"/>
      <c r="G33" s="309" t="s">
        <v>85</v>
      </c>
      <c r="H33" s="307"/>
      <c r="I33" s="229">
        <f t="shared" si="0"/>
        <v>0</v>
      </c>
      <c r="J33" s="307"/>
      <c r="K33" s="308">
        <f t="shared" si="1"/>
        <v>0</v>
      </c>
    </row>
    <row r="34" spans="1:11" ht="18" customHeight="1" x14ac:dyDescent="0.4">
      <c r="A34" s="1" t="s">
        <v>136</v>
      </c>
      <c r="B34" s="630"/>
      <c r="C34" s="631"/>
      <c r="D34" s="632"/>
      <c r="F34" s="306"/>
      <c r="G34" s="309" t="s">
        <v>85</v>
      </c>
      <c r="H34" s="307"/>
      <c r="I34" s="229">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1008</v>
      </c>
      <c r="G36" s="310">
        <f t="shared" si="2"/>
        <v>1538</v>
      </c>
      <c r="H36" s="310">
        <f t="shared" si="2"/>
        <v>74962</v>
      </c>
      <c r="I36" s="351">
        <f t="shared" si="2"/>
        <v>40479.480000000003</v>
      </c>
      <c r="J36" s="308">
        <f t="shared" si="2"/>
        <v>0</v>
      </c>
      <c r="K36" s="308">
        <f t="shared" si="2"/>
        <v>115441.48</v>
      </c>
    </row>
    <row r="37" spans="1:11" ht="18" customHeight="1" thickBot="1" x14ac:dyDescent="0.45">
      <c r="B37" s="95"/>
      <c r="F37" s="398"/>
      <c r="G37" s="398"/>
      <c r="H37" s="399"/>
      <c r="I37" s="372"/>
      <c r="J37" s="399"/>
      <c r="K37" s="112"/>
    </row>
    <row r="38" spans="1:11" ht="42.75" customHeight="1" x14ac:dyDescent="0.4">
      <c r="F38" s="99" t="s">
        <v>9</v>
      </c>
      <c r="G38" s="99" t="s">
        <v>37</v>
      </c>
      <c r="H38" s="99" t="s">
        <v>29</v>
      </c>
      <c r="I38" s="230" t="s">
        <v>30</v>
      </c>
      <c r="J38" s="99" t="s">
        <v>33</v>
      </c>
      <c r="K38" s="99" t="s">
        <v>34</v>
      </c>
    </row>
    <row r="39" spans="1:11" ht="18.75" customHeight="1" x14ac:dyDescent="0.4">
      <c r="A39" s="98" t="s">
        <v>86</v>
      </c>
      <c r="B39" s="95" t="s">
        <v>49</v>
      </c>
    </row>
    <row r="40" spans="1:11" ht="18" customHeight="1" x14ac:dyDescent="0.4">
      <c r="A40" s="1" t="s">
        <v>87</v>
      </c>
      <c r="B40" t="s">
        <v>31</v>
      </c>
      <c r="F40" s="561">
        <v>58275.243507807565</v>
      </c>
      <c r="G40" s="561"/>
      <c r="H40" s="562">
        <v>4018571.55</v>
      </c>
      <c r="I40" s="229">
        <f t="shared" ref="I40:I47" si="3">H40*F$114</f>
        <v>2170028.6370000001</v>
      </c>
      <c r="J40" s="363">
        <v>0</v>
      </c>
      <c r="K40" s="351">
        <f t="shared" ref="K40:K47" si="4">(H40+I40)-J40</f>
        <v>6188600.1869999999</v>
      </c>
    </row>
    <row r="41" spans="1:11" ht="18" customHeight="1" x14ac:dyDescent="0.4">
      <c r="A41" s="1" t="s">
        <v>88</v>
      </c>
      <c r="B41" s="635" t="s">
        <v>50</v>
      </c>
      <c r="C41" s="636"/>
      <c r="F41" s="306">
        <v>2240</v>
      </c>
      <c r="G41" s="306">
        <v>80</v>
      </c>
      <c r="H41" s="319">
        <v>128800</v>
      </c>
      <c r="I41" s="229">
        <f t="shared" si="3"/>
        <v>69552</v>
      </c>
      <c r="J41" s="307">
        <v>0</v>
      </c>
      <c r="K41" s="351">
        <f t="shared" si="4"/>
        <v>198352</v>
      </c>
    </row>
    <row r="42" spans="1:11" ht="18" customHeight="1" x14ac:dyDescent="0.4">
      <c r="A42" s="1" t="s">
        <v>89</v>
      </c>
      <c r="B42" s="94" t="s">
        <v>11</v>
      </c>
      <c r="F42" s="306">
        <v>11935</v>
      </c>
      <c r="G42" s="306">
        <v>423</v>
      </c>
      <c r="H42" s="319">
        <v>675901</v>
      </c>
      <c r="I42" s="229">
        <f t="shared" si="3"/>
        <v>364986.54000000004</v>
      </c>
      <c r="J42" s="307">
        <v>0</v>
      </c>
      <c r="K42" s="351">
        <f t="shared" si="4"/>
        <v>1040887.54</v>
      </c>
    </row>
    <row r="43" spans="1:11" ht="18" customHeight="1" x14ac:dyDescent="0.4">
      <c r="A43" s="1" t="s">
        <v>90</v>
      </c>
      <c r="B43" s="94" t="s">
        <v>10</v>
      </c>
      <c r="F43" s="306"/>
      <c r="G43" s="306"/>
      <c r="H43" s="307"/>
      <c r="I43" s="229">
        <f t="shared" si="3"/>
        <v>0</v>
      </c>
      <c r="J43" s="307"/>
      <c r="K43" s="351">
        <f t="shared" si="4"/>
        <v>0</v>
      </c>
    </row>
    <row r="44" spans="1:11" ht="18" customHeight="1" x14ac:dyDescent="0.4">
      <c r="A44" s="1" t="s">
        <v>91</v>
      </c>
      <c r="B44" s="816"/>
      <c r="C44" s="817"/>
      <c r="D44" s="818"/>
      <c r="F44" s="311"/>
      <c r="G44" s="311"/>
      <c r="H44" s="311"/>
      <c r="I44" s="488">
        <f t="shared" si="3"/>
        <v>0</v>
      </c>
      <c r="J44" s="311"/>
      <c r="K44" s="489">
        <f t="shared" si="4"/>
        <v>0</v>
      </c>
    </row>
    <row r="45" spans="1:11" ht="18" customHeight="1" x14ac:dyDescent="0.4">
      <c r="A45" s="1" t="s">
        <v>139</v>
      </c>
      <c r="B45" s="813"/>
      <c r="C45" s="814"/>
      <c r="D45" s="815"/>
      <c r="F45" s="311"/>
      <c r="G45" s="311"/>
      <c r="H45" s="352"/>
      <c r="I45" s="488">
        <f t="shared" si="3"/>
        <v>0</v>
      </c>
      <c r="J45" s="352"/>
      <c r="K45" s="489">
        <f t="shared" si="4"/>
        <v>0</v>
      </c>
    </row>
    <row r="46" spans="1:11" ht="18" customHeight="1" x14ac:dyDescent="0.4">
      <c r="A46" s="1" t="s">
        <v>140</v>
      </c>
      <c r="B46" s="630"/>
      <c r="C46" s="631"/>
      <c r="D46" s="632"/>
      <c r="F46" s="306"/>
      <c r="G46" s="306"/>
      <c r="H46" s="307"/>
      <c r="I46" s="229">
        <f t="shared" si="3"/>
        <v>0</v>
      </c>
      <c r="J46" s="307"/>
      <c r="K46" s="351">
        <f t="shared" si="4"/>
        <v>0</v>
      </c>
    </row>
    <row r="47" spans="1:11" ht="18" customHeight="1" x14ac:dyDescent="0.4">
      <c r="A47" s="1" t="s">
        <v>141</v>
      </c>
      <c r="B47" s="630"/>
      <c r="C47" s="631"/>
      <c r="D47" s="632"/>
      <c r="F47" s="306"/>
      <c r="G47" s="306"/>
      <c r="H47" s="307"/>
      <c r="I47" s="229">
        <f t="shared" si="3"/>
        <v>0</v>
      </c>
      <c r="J47" s="307"/>
      <c r="K47" s="351">
        <f t="shared" si="4"/>
        <v>0</v>
      </c>
    </row>
    <row r="49" spans="1:13" ht="18" customHeight="1" x14ac:dyDescent="0.4">
      <c r="A49" s="98" t="s">
        <v>142</v>
      </c>
      <c r="B49" s="95" t="s">
        <v>143</v>
      </c>
      <c r="E49" s="95" t="s">
        <v>7</v>
      </c>
      <c r="F49" s="312">
        <f t="shared" ref="F49:K49" si="5">SUM(F40:F47)</f>
        <v>72450.243507807565</v>
      </c>
      <c r="G49" s="312">
        <f t="shared" si="5"/>
        <v>503</v>
      </c>
      <c r="H49" s="308">
        <f t="shared" si="5"/>
        <v>4823272.55</v>
      </c>
      <c r="I49" s="351">
        <f t="shared" si="5"/>
        <v>2604567.1770000001</v>
      </c>
      <c r="J49" s="308">
        <f t="shared" si="5"/>
        <v>0</v>
      </c>
      <c r="K49" s="308">
        <f t="shared" si="5"/>
        <v>7427839.727</v>
      </c>
    </row>
    <row r="50" spans="1:13" ht="18" customHeight="1" thickBot="1" x14ac:dyDescent="0.45">
      <c r="G50" s="103"/>
      <c r="H50" s="103"/>
      <c r="I50" s="372"/>
      <c r="J50" s="103"/>
      <c r="K50" s="103"/>
    </row>
    <row r="51" spans="1:13" ht="42.75" customHeight="1" x14ac:dyDescent="0.4">
      <c r="F51" s="99" t="s">
        <v>9</v>
      </c>
      <c r="G51" s="99" t="s">
        <v>37</v>
      </c>
      <c r="H51" s="99" t="s">
        <v>29</v>
      </c>
      <c r="I51" s="230" t="s">
        <v>30</v>
      </c>
      <c r="J51" s="99" t="s">
        <v>33</v>
      </c>
      <c r="K51" s="99" t="s">
        <v>34</v>
      </c>
    </row>
    <row r="52" spans="1:13" ht="18" customHeight="1" x14ac:dyDescent="0.4">
      <c r="A52" s="98" t="s">
        <v>92</v>
      </c>
      <c r="B52" s="656" t="s">
        <v>38</v>
      </c>
      <c r="C52" s="657"/>
    </row>
    <row r="53" spans="1:13" ht="18" customHeight="1" x14ac:dyDescent="0.4">
      <c r="A53" s="1" t="s">
        <v>51</v>
      </c>
      <c r="B53" s="819" t="s">
        <v>594</v>
      </c>
      <c r="C53" s="820"/>
      <c r="D53" s="821"/>
      <c r="F53" s="306">
        <v>74</v>
      </c>
      <c r="G53" s="306">
        <v>152</v>
      </c>
      <c r="H53" s="319">
        <v>3422</v>
      </c>
      <c r="I53" s="229">
        <f t="shared" ref="I53:I62" si="6">H53*F$114</f>
        <v>1847.88</v>
      </c>
      <c r="J53" s="307">
        <v>0</v>
      </c>
      <c r="K53" s="351">
        <f t="shared" ref="K53:K62" si="7">(H53+I53)-J53</f>
        <v>5269.88</v>
      </c>
    </row>
    <row r="54" spans="1:13" ht="18" customHeight="1" x14ac:dyDescent="0.4">
      <c r="A54" s="1" t="s">
        <v>93</v>
      </c>
      <c r="B54" s="819" t="s">
        <v>595</v>
      </c>
      <c r="C54" s="820"/>
      <c r="D54" s="821"/>
      <c r="F54" s="306">
        <v>220</v>
      </c>
      <c r="G54" s="306">
        <v>94</v>
      </c>
      <c r="H54" s="319">
        <v>14261</v>
      </c>
      <c r="I54" s="229">
        <f t="shared" si="6"/>
        <v>7700.9400000000005</v>
      </c>
      <c r="J54" s="307">
        <v>0</v>
      </c>
      <c r="K54" s="351">
        <f t="shared" si="7"/>
        <v>21961.940000000002</v>
      </c>
    </row>
    <row r="55" spans="1:13" ht="18" customHeight="1" x14ac:dyDescent="0.4">
      <c r="A55" s="1" t="s">
        <v>94</v>
      </c>
      <c r="B55" s="819" t="s">
        <v>596</v>
      </c>
      <c r="C55" s="820"/>
      <c r="D55" s="821"/>
      <c r="F55" s="306">
        <v>73</v>
      </c>
      <c r="G55" s="306">
        <v>135</v>
      </c>
      <c r="H55" s="319">
        <v>3376</v>
      </c>
      <c r="I55" s="229">
        <f t="shared" si="6"/>
        <v>1823.0400000000002</v>
      </c>
      <c r="J55" s="307">
        <v>0</v>
      </c>
      <c r="K55" s="351">
        <f t="shared" si="7"/>
        <v>5199.04</v>
      </c>
    </row>
    <row r="56" spans="1:13" ht="18" customHeight="1" x14ac:dyDescent="0.4">
      <c r="A56" s="1" t="s">
        <v>95</v>
      </c>
      <c r="B56" s="819" t="s">
        <v>597</v>
      </c>
      <c r="C56" s="820"/>
      <c r="D56" s="821"/>
      <c r="F56" s="306">
        <v>68</v>
      </c>
      <c r="G56" s="306">
        <v>64</v>
      </c>
      <c r="H56" s="319">
        <v>23600</v>
      </c>
      <c r="I56" s="229">
        <f t="shared" si="6"/>
        <v>12744</v>
      </c>
      <c r="J56" s="307">
        <v>0</v>
      </c>
      <c r="K56" s="351">
        <f t="shared" si="7"/>
        <v>36344</v>
      </c>
    </row>
    <row r="57" spans="1:13" ht="18" customHeight="1" x14ac:dyDescent="0.4">
      <c r="A57" s="1" t="s">
        <v>96</v>
      </c>
      <c r="B57" s="822"/>
      <c r="C57" s="823"/>
      <c r="D57" s="824"/>
      <c r="F57" s="311"/>
      <c r="G57" s="311"/>
      <c r="H57" s="348"/>
      <c r="I57" s="488">
        <f t="shared" si="6"/>
        <v>0</v>
      </c>
      <c r="J57" s="352"/>
      <c r="K57" s="489">
        <f t="shared" si="7"/>
        <v>0</v>
      </c>
    </row>
    <row r="58" spans="1:13" ht="18" customHeight="1" x14ac:dyDescent="0.4">
      <c r="A58" s="1" t="s">
        <v>97</v>
      </c>
      <c r="B58" s="822"/>
      <c r="C58" s="823"/>
      <c r="D58" s="824"/>
      <c r="F58" s="311"/>
      <c r="G58" s="311"/>
      <c r="H58" s="352"/>
      <c r="I58" s="488">
        <f t="shared" si="6"/>
        <v>0</v>
      </c>
      <c r="J58" s="352"/>
      <c r="K58" s="489">
        <f t="shared" si="7"/>
        <v>0</v>
      </c>
    </row>
    <row r="59" spans="1:13" ht="18" customHeight="1" x14ac:dyDescent="0.4">
      <c r="A59" s="1" t="s">
        <v>98</v>
      </c>
      <c r="B59" s="825"/>
      <c r="C59" s="826"/>
      <c r="D59" s="827"/>
      <c r="F59" s="311"/>
      <c r="G59" s="311"/>
      <c r="H59" s="352"/>
      <c r="I59" s="488">
        <f t="shared" si="6"/>
        <v>0</v>
      </c>
      <c r="J59" s="352"/>
      <c r="K59" s="489">
        <f t="shared" si="7"/>
        <v>0</v>
      </c>
    </row>
    <row r="60" spans="1:13" ht="18" customHeight="1" x14ac:dyDescent="0.4">
      <c r="A60" s="1" t="s">
        <v>99</v>
      </c>
      <c r="B60" s="822"/>
      <c r="C60" s="823"/>
      <c r="D60" s="824"/>
      <c r="F60" s="311"/>
      <c r="G60" s="311"/>
      <c r="H60" s="352"/>
      <c r="I60" s="488">
        <f t="shared" si="6"/>
        <v>0</v>
      </c>
      <c r="J60" s="352"/>
      <c r="K60" s="489">
        <f t="shared" si="7"/>
        <v>0</v>
      </c>
    </row>
    <row r="61" spans="1:13" ht="18" customHeight="1" x14ac:dyDescent="0.4">
      <c r="A61" s="1" t="s">
        <v>100</v>
      </c>
      <c r="B61" s="548"/>
      <c r="C61" s="563"/>
      <c r="D61" s="564"/>
      <c r="F61" s="311"/>
      <c r="G61" s="311"/>
      <c r="H61" s="348"/>
      <c r="I61" s="488">
        <f t="shared" si="6"/>
        <v>0</v>
      </c>
      <c r="J61" s="352"/>
      <c r="K61" s="489">
        <f t="shared" si="7"/>
        <v>0</v>
      </c>
    </row>
    <row r="62" spans="1:13" ht="18" customHeight="1" x14ac:dyDescent="0.4">
      <c r="A62" s="1" t="s">
        <v>101</v>
      </c>
      <c r="B62" s="652" t="s">
        <v>647</v>
      </c>
      <c r="C62" s="653"/>
      <c r="D62" s="654"/>
      <c r="F62" s="306">
        <f>16.27*2080</f>
        <v>33841.599999999999</v>
      </c>
      <c r="G62" s="306">
        <v>5780</v>
      </c>
      <c r="H62" s="364">
        <f>2101*1000</f>
        <v>2101000</v>
      </c>
      <c r="I62" s="229">
        <f t="shared" si="6"/>
        <v>1134540</v>
      </c>
      <c r="J62" s="307">
        <f>912000</f>
        <v>912000</v>
      </c>
      <c r="K62" s="351">
        <f t="shared" si="7"/>
        <v>2323540</v>
      </c>
      <c r="M62" s="94"/>
    </row>
    <row r="63" spans="1:13" ht="18" customHeight="1" x14ac:dyDescent="0.4">
      <c r="A63" s="1"/>
      <c r="H63" s="87"/>
      <c r="I63" s="490"/>
    </row>
    <row r="64" spans="1:13" ht="18" customHeight="1" x14ac:dyDescent="0.4">
      <c r="A64" s="1" t="s">
        <v>144</v>
      </c>
      <c r="B64" s="95" t="s">
        <v>145</v>
      </c>
      <c r="E64" s="95" t="s">
        <v>7</v>
      </c>
      <c r="F64" s="310">
        <f t="shared" ref="F64:K64" si="8">SUM(F53:F62)</f>
        <v>34276.6</v>
      </c>
      <c r="G64" s="310">
        <f t="shared" si="8"/>
        <v>6225</v>
      </c>
      <c r="H64" s="351">
        <f t="shared" si="8"/>
        <v>2145659</v>
      </c>
      <c r="I64" s="351">
        <f t="shared" si="8"/>
        <v>1158655.8600000001</v>
      </c>
      <c r="J64" s="308">
        <f t="shared" si="8"/>
        <v>912000</v>
      </c>
      <c r="K64" s="308">
        <f t="shared" si="8"/>
        <v>2392314.86</v>
      </c>
    </row>
    <row r="65" spans="1:12" ht="18" customHeight="1" x14ac:dyDescent="0.4">
      <c r="F65" s="113"/>
      <c r="G65" s="113"/>
      <c r="H65" s="113"/>
      <c r="I65" s="222"/>
      <c r="J65" s="113"/>
      <c r="K65" s="113"/>
    </row>
    <row r="66" spans="1:12" ht="42.75" customHeight="1" x14ac:dyDescent="0.4">
      <c r="F66" s="99" t="s">
        <v>9</v>
      </c>
      <c r="G66" s="99" t="s">
        <v>37</v>
      </c>
      <c r="H66" s="99" t="s">
        <v>29</v>
      </c>
      <c r="I66" s="230" t="s">
        <v>30</v>
      </c>
      <c r="J66" s="99" t="s">
        <v>33</v>
      </c>
      <c r="K66" s="99" t="s">
        <v>34</v>
      </c>
    </row>
    <row r="67" spans="1:12" ht="18" customHeight="1" x14ac:dyDescent="0.4">
      <c r="A67" s="98" t="s">
        <v>102</v>
      </c>
      <c r="B67" s="95" t="s">
        <v>12</v>
      </c>
      <c r="F67" s="404"/>
      <c r="G67" s="404"/>
      <c r="H67" s="404"/>
      <c r="I67" s="565"/>
      <c r="J67" s="404"/>
      <c r="K67" s="405"/>
    </row>
    <row r="68" spans="1:12" ht="18" customHeight="1" x14ac:dyDescent="0.4">
      <c r="A68" s="1" t="s">
        <v>103</v>
      </c>
      <c r="B68" t="s">
        <v>52</v>
      </c>
      <c r="F68" s="313"/>
      <c r="G68" s="313"/>
      <c r="H68" s="313"/>
      <c r="I68" s="229">
        <v>0</v>
      </c>
      <c r="J68" s="313"/>
      <c r="K68" s="308">
        <f>(H68+I68)-J68</f>
        <v>0</v>
      </c>
    </row>
    <row r="69" spans="1:12" ht="18" customHeight="1" x14ac:dyDescent="0.4">
      <c r="A69" s="1" t="s">
        <v>104</v>
      </c>
      <c r="B69" s="94" t="s">
        <v>53</v>
      </c>
      <c r="F69" s="313"/>
      <c r="G69" s="313"/>
      <c r="H69" s="313"/>
      <c r="I69" s="229">
        <v>0</v>
      </c>
      <c r="J69" s="313"/>
      <c r="K69" s="308">
        <f>(H69+I69)-J69</f>
        <v>0</v>
      </c>
    </row>
    <row r="70" spans="1:12" ht="18" customHeight="1" x14ac:dyDescent="0.4">
      <c r="A70" s="1" t="s">
        <v>178</v>
      </c>
      <c r="B70" s="400"/>
      <c r="C70" s="401"/>
      <c r="D70" s="402"/>
      <c r="E70" s="95"/>
      <c r="F70" s="104"/>
      <c r="G70" s="104"/>
      <c r="H70" s="105"/>
      <c r="I70" s="229">
        <v>0</v>
      </c>
      <c r="J70" s="105"/>
      <c r="K70" s="308">
        <f>(H70+I70)-J70</f>
        <v>0</v>
      </c>
    </row>
    <row r="71" spans="1:12" ht="18" customHeight="1" x14ac:dyDescent="0.4">
      <c r="A71" s="1" t="s">
        <v>179</v>
      </c>
      <c r="B71" s="400"/>
      <c r="C71" s="401"/>
      <c r="D71" s="402"/>
      <c r="E71" s="95"/>
      <c r="F71" s="104"/>
      <c r="G71" s="104"/>
      <c r="H71" s="105"/>
      <c r="I71" s="229">
        <v>0</v>
      </c>
      <c r="J71" s="105"/>
      <c r="K71" s="308">
        <f>(H71+I71)-J71</f>
        <v>0</v>
      </c>
    </row>
    <row r="72" spans="1:12" ht="18" customHeight="1" x14ac:dyDescent="0.4">
      <c r="A72" s="1" t="s">
        <v>180</v>
      </c>
      <c r="B72" s="406"/>
      <c r="C72" s="407"/>
      <c r="D72" s="408"/>
      <c r="E72" s="95"/>
      <c r="F72" s="306"/>
      <c r="G72" s="306"/>
      <c r="H72" s="307"/>
      <c r="I72" s="229">
        <v>0</v>
      </c>
      <c r="J72" s="307"/>
      <c r="K72" s="308">
        <f>(H72+I72)-J72</f>
        <v>0</v>
      </c>
    </row>
    <row r="73" spans="1:12" ht="18" customHeight="1" x14ac:dyDescent="0.4">
      <c r="A73" s="1"/>
      <c r="B73" s="94"/>
      <c r="E73" s="95"/>
      <c r="F73" s="409"/>
      <c r="G73" s="409"/>
      <c r="H73" s="410"/>
      <c r="I73" s="565"/>
      <c r="J73" s="410"/>
      <c r="K73" s="405"/>
    </row>
    <row r="74" spans="1:12" ht="18" customHeight="1" x14ac:dyDescent="0.4">
      <c r="A74" s="98" t="s">
        <v>146</v>
      </c>
      <c r="B74" s="95" t="s">
        <v>147</v>
      </c>
      <c r="E74" s="95" t="s">
        <v>7</v>
      </c>
      <c r="F74" s="411">
        <f t="shared" ref="F74:K74" si="9">SUM(F68:F72)</f>
        <v>0</v>
      </c>
      <c r="G74" s="411">
        <f t="shared" si="9"/>
        <v>0</v>
      </c>
      <c r="H74" s="411">
        <f t="shared" si="9"/>
        <v>0</v>
      </c>
      <c r="I74" s="566">
        <f t="shared" si="9"/>
        <v>0</v>
      </c>
      <c r="J74" s="308">
        <f t="shared" si="9"/>
        <v>0</v>
      </c>
      <c r="K74" s="308">
        <f t="shared" si="9"/>
        <v>0</v>
      </c>
    </row>
    <row r="75" spans="1:12" ht="42.75" customHeight="1" x14ac:dyDescent="0.4">
      <c r="F75" s="99" t="s">
        <v>9</v>
      </c>
      <c r="G75" s="99" t="s">
        <v>37</v>
      </c>
      <c r="H75" s="99" t="s">
        <v>29</v>
      </c>
      <c r="I75" s="230" t="s">
        <v>30</v>
      </c>
      <c r="J75" s="99" t="s">
        <v>33</v>
      </c>
      <c r="K75" s="99" t="s">
        <v>34</v>
      </c>
    </row>
    <row r="76" spans="1:12" ht="18" customHeight="1" x14ac:dyDescent="0.4">
      <c r="A76" s="98" t="s">
        <v>105</v>
      </c>
      <c r="B76" s="95" t="s">
        <v>106</v>
      </c>
    </row>
    <row r="77" spans="1:12" ht="18" customHeight="1" x14ac:dyDescent="0.4">
      <c r="A77" s="1" t="s">
        <v>107</v>
      </c>
      <c r="B77" s="567" t="s">
        <v>54</v>
      </c>
      <c r="F77" s="306"/>
      <c r="G77" s="306"/>
      <c r="H77" s="307"/>
      <c r="I77" s="229">
        <f t="shared" ref="I77:I80" si="10">H77*F$114</f>
        <v>0</v>
      </c>
      <c r="J77" s="307"/>
      <c r="K77" s="308">
        <f>(H77+I77)-J77</f>
        <v>0</v>
      </c>
    </row>
    <row r="78" spans="1:12" ht="18" customHeight="1" x14ac:dyDescent="0.4">
      <c r="A78" s="1" t="s">
        <v>108</v>
      </c>
      <c r="B78" s="567" t="s">
        <v>55</v>
      </c>
      <c r="F78" s="306"/>
      <c r="G78" s="306"/>
      <c r="H78" s="307"/>
      <c r="I78" s="229">
        <f t="shared" si="10"/>
        <v>0</v>
      </c>
      <c r="J78" s="307"/>
      <c r="K78" s="308">
        <f>(H78+I78)-J78</f>
        <v>0</v>
      </c>
    </row>
    <row r="79" spans="1:12" ht="18" customHeight="1" x14ac:dyDescent="0.4">
      <c r="A79" s="1" t="s">
        <v>109</v>
      </c>
      <c r="B79" s="567" t="s">
        <v>13</v>
      </c>
      <c r="F79" s="311"/>
      <c r="G79" s="311"/>
      <c r="H79" s="348">
        <v>28500</v>
      </c>
      <c r="I79" s="488">
        <f t="shared" si="10"/>
        <v>15390.000000000002</v>
      </c>
      <c r="J79" s="352">
        <v>0</v>
      </c>
      <c r="K79" s="489">
        <f t="shared" ref="K79" si="11">(H79+I79)-J79</f>
        <v>43890</v>
      </c>
      <c r="L79" s="94"/>
    </row>
    <row r="80" spans="1:12" ht="18" customHeight="1" x14ac:dyDescent="0.4">
      <c r="A80" s="1" t="s">
        <v>110</v>
      </c>
      <c r="B80" s="94" t="s">
        <v>56</v>
      </c>
      <c r="F80" s="306"/>
      <c r="G80" s="306"/>
      <c r="H80" s="307"/>
      <c r="I80" s="229">
        <f t="shared" si="10"/>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2">SUM(F77:F80)</f>
        <v>0</v>
      </c>
      <c r="G82" s="411">
        <f t="shared" si="12"/>
        <v>0</v>
      </c>
      <c r="H82" s="351">
        <f t="shared" si="12"/>
        <v>28500</v>
      </c>
      <c r="I82" s="351">
        <f t="shared" si="12"/>
        <v>15390.000000000002</v>
      </c>
      <c r="J82" s="308">
        <f t="shared" si="12"/>
        <v>0</v>
      </c>
      <c r="K82" s="308">
        <f t="shared" si="12"/>
        <v>43890</v>
      </c>
    </row>
    <row r="83" spans="1:11" ht="18" customHeight="1" thickBot="1" x14ac:dyDescent="0.45">
      <c r="A83" s="1"/>
      <c r="F83" s="103"/>
      <c r="G83" s="103"/>
      <c r="H83" s="103"/>
      <c r="I83" s="372"/>
      <c r="J83" s="103"/>
      <c r="K83" s="103"/>
    </row>
    <row r="84" spans="1:11" ht="42.75" customHeight="1" x14ac:dyDescent="0.4">
      <c r="F84" s="99" t="s">
        <v>9</v>
      </c>
      <c r="G84" s="99" t="s">
        <v>37</v>
      </c>
      <c r="H84" s="99" t="s">
        <v>29</v>
      </c>
      <c r="I84" s="230"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229">
        <f t="shared" ref="I86:I96" si="13">H86*F$114</f>
        <v>0</v>
      </c>
      <c r="J86" s="307"/>
      <c r="K86" s="308">
        <f t="shared" ref="K86:K96" si="14">(H86+I86)-J86</f>
        <v>0</v>
      </c>
    </row>
    <row r="87" spans="1:11" ht="18" customHeight="1" x14ac:dyDescent="0.4">
      <c r="A87" s="1" t="s">
        <v>114</v>
      </c>
      <c r="B87" s="94" t="s">
        <v>14</v>
      </c>
      <c r="F87" s="306"/>
      <c r="G87" s="306"/>
      <c r="H87" s="307"/>
      <c r="I87" s="229">
        <f t="shared" si="13"/>
        <v>0</v>
      </c>
      <c r="J87" s="307"/>
      <c r="K87" s="308">
        <f t="shared" si="14"/>
        <v>0</v>
      </c>
    </row>
    <row r="88" spans="1:11" ht="18" customHeight="1" x14ac:dyDescent="0.4">
      <c r="A88" s="1" t="s">
        <v>115</v>
      </c>
      <c r="B88" s="94" t="s">
        <v>116</v>
      </c>
      <c r="F88" s="306"/>
      <c r="G88" s="306"/>
      <c r="H88" s="307"/>
      <c r="I88" s="229">
        <f t="shared" si="13"/>
        <v>0</v>
      </c>
      <c r="J88" s="307"/>
      <c r="K88" s="308">
        <f t="shared" si="14"/>
        <v>0</v>
      </c>
    </row>
    <row r="89" spans="1:11" ht="18" customHeight="1" x14ac:dyDescent="0.4">
      <c r="A89" s="1" t="s">
        <v>117</v>
      </c>
      <c r="B89" s="94" t="s">
        <v>58</v>
      </c>
      <c r="F89" s="306"/>
      <c r="G89" s="306"/>
      <c r="H89" s="307"/>
      <c r="I89" s="229">
        <f t="shared" si="13"/>
        <v>0</v>
      </c>
      <c r="J89" s="307"/>
      <c r="K89" s="308">
        <f t="shared" si="14"/>
        <v>0</v>
      </c>
    </row>
    <row r="90" spans="1:11" ht="18" customHeight="1" x14ac:dyDescent="0.4">
      <c r="A90" s="1" t="s">
        <v>118</v>
      </c>
      <c r="B90" s="635" t="s">
        <v>59</v>
      </c>
      <c r="C90" s="636"/>
      <c r="F90" s="306"/>
      <c r="G90" s="306"/>
      <c r="H90" s="307"/>
      <c r="I90" s="229">
        <f t="shared" si="13"/>
        <v>0</v>
      </c>
      <c r="J90" s="307"/>
      <c r="K90" s="308">
        <f t="shared" si="14"/>
        <v>0</v>
      </c>
    </row>
    <row r="91" spans="1:11" ht="18" customHeight="1" x14ac:dyDescent="0.4">
      <c r="A91" s="1" t="s">
        <v>119</v>
      </c>
      <c r="B91" s="94" t="s">
        <v>60</v>
      </c>
      <c r="F91" s="306"/>
      <c r="G91" s="306"/>
      <c r="H91" s="307"/>
      <c r="I91" s="229">
        <f t="shared" si="13"/>
        <v>0</v>
      </c>
      <c r="J91" s="307"/>
      <c r="K91" s="308">
        <f t="shared" si="14"/>
        <v>0</v>
      </c>
    </row>
    <row r="92" spans="1:11" ht="18" customHeight="1" x14ac:dyDescent="0.4">
      <c r="A92" s="1" t="s">
        <v>120</v>
      </c>
      <c r="B92" s="94" t="s">
        <v>121</v>
      </c>
      <c r="F92" s="107"/>
      <c r="G92" s="107"/>
      <c r="H92" s="108"/>
      <c r="I92" s="229">
        <f t="shared" si="13"/>
        <v>0</v>
      </c>
      <c r="J92" s="108"/>
      <c r="K92" s="308">
        <f t="shared" si="14"/>
        <v>0</v>
      </c>
    </row>
    <row r="93" spans="1:11" ht="18" customHeight="1" x14ac:dyDescent="0.4">
      <c r="A93" s="1" t="s">
        <v>122</v>
      </c>
      <c r="B93" s="94" t="s">
        <v>123</v>
      </c>
      <c r="F93" s="306"/>
      <c r="G93" s="306"/>
      <c r="H93" s="307"/>
      <c r="I93" s="229">
        <f t="shared" si="13"/>
        <v>0</v>
      </c>
      <c r="J93" s="307"/>
      <c r="K93" s="308">
        <f t="shared" si="14"/>
        <v>0</v>
      </c>
    </row>
    <row r="94" spans="1:11" ht="18" customHeight="1" x14ac:dyDescent="0.4">
      <c r="A94" s="1" t="s">
        <v>124</v>
      </c>
      <c r="B94" s="655"/>
      <c r="C94" s="653"/>
      <c r="D94" s="654"/>
      <c r="F94" s="306"/>
      <c r="G94" s="306"/>
      <c r="H94" s="307"/>
      <c r="I94" s="229">
        <f t="shared" si="13"/>
        <v>0</v>
      </c>
      <c r="J94" s="307"/>
      <c r="K94" s="308">
        <f t="shared" si="14"/>
        <v>0</v>
      </c>
    </row>
    <row r="95" spans="1:11" ht="18" customHeight="1" x14ac:dyDescent="0.4">
      <c r="A95" s="1" t="s">
        <v>125</v>
      </c>
      <c r="B95" s="655"/>
      <c r="C95" s="653"/>
      <c r="D95" s="654"/>
      <c r="F95" s="306"/>
      <c r="G95" s="306"/>
      <c r="H95" s="307"/>
      <c r="I95" s="229">
        <f t="shared" si="13"/>
        <v>0</v>
      </c>
      <c r="J95" s="307"/>
      <c r="K95" s="308">
        <f t="shared" si="14"/>
        <v>0</v>
      </c>
    </row>
    <row r="96" spans="1:11" ht="18" customHeight="1" x14ac:dyDescent="0.4">
      <c r="A96" s="1" t="s">
        <v>126</v>
      </c>
      <c r="B96" s="655"/>
      <c r="C96" s="653"/>
      <c r="D96" s="654"/>
      <c r="F96" s="306"/>
      <c r="G96" s="306"/>
      <c r="H96" s="307"/>
      <c r="I96" s="229">
        <f t="shared" si="13"/>
        <v>0</v>
      </c>
      <c r="J96" s="307"/>
      <c r="K96" s="308">
        <f t="shared" si="14"/>
        <v>0</v>
      </c>
    </row>
    <row r="97" spans="1:11" ht="18" customHeight="1" x14ac:dyDescent="0.4">
      <c r="A97" s="1"/>
      <c r="B97" s="94"/>
    </row>
    <row r="98" spans="1:11" ht="18" customHeight="1" x14ac:dyDescent="0.4">
      <c r="A98" s="98" t="s">
        <v>150</v>
      </c>
      <c r="B98" s="95" t="s">
        <v>151</v>
      </c>
      <c r="E98" s="95" t="s">
        <v>7</v>
      </c>
      <c r="F98" s="310">
        <f t="shared" ref="F98:K98" si="15">SUM(F86:F96)</f>
        <v>0</v>
      </c>
      <c r="G98" s="310">
        <f t="shared" si="15"/>
        <v>0</v>
      </c>
      <c r="H98" s="351">
        <f t="shared" si="15"/>
        <v>0</v>
      </c>
      <c r="I98" s="351">
        <f t="shared" si="15"/>
        <v>0</v>
      </c>
      <c r="J98" s="351">
        <f t="shared" si="15"/>
        <v>0</v>
      </c>
      <c r="K98" s="351">
        <f t="shared" si="15"/>
        <v>0</v>
      </c>
    </row>
    <row r="99" spans="1:11" ht="18" customHeight="1" thickBot="1" x14ac:dyDescent="0.45">
      <c r="B99" s="95"/>
      <c r="F99" s="103"/>
      <c r="G99" s="103"/>
      <c r="H99" s="103"/>
      <c r="I99" s="372"/>
      <c r="J99" s="103"/>
      <c r="K99" s="103"/>
    </row>
    <row r="100" spans="1:11" ht="42.75" customHeight="1" x14ac:dyDescent="0.4">
      <c r="F100" s="99" t="s">
        <v>9</v>
      </c>
      <c r="G100" s="99" t="s">
        <v>37</v>
      </c>
      <c r="H100" s="99" t="s">
        <v>29</v>
      </c>
      <c r="I100" s="230" t="s">
        <v>30</v>
      </c>
      <c r="J100" s="99" t="s">
        <v>33</v>
      </c>
      <c r="K100" s="99" t="s">
        <v>34</v>
      </c>
    </row>
    <row r="101" spans="1:11" ht="18" customHeight="1" x14ac:dyDescent="0.4">
      <c r="A101" s="98" t="s">
        <v>130</v>
      </c>
      <c r="B101" s="95" t="s">
        <v>63</v>
      </c>
    </row>
    <row r="102" spans="1:11" ht="18" customHeight="1" x14ac:dyDescent="0.4">
      <c r="A102" s="1" t="s">
        <v>131</v>
      </c>
      <c r="B102" s="94" t="s">
        <v>152</v>
      </c>
      <c r="F102" s="306">
        <v>750</v>
      </c>
      <c r="G102" s="306"/>
      <c r="H102" s="319">
        <v>73171.992307692301</v>
      </c>
      <c r="I102" s="229">
        <f>H102*F$114</f>
        <v>39512.875846153845</v>
      </c>
      <c r="J102" s="307">
        <v>0</v>
      </c>
      <c r="K102" s="316">
        <f>(H102+I102)-J102</f>
        <v>112684.86815384615</v>
      </c>
    </row>
    <row r="103" spans="1:11" ht="18" customHeight="1" x14ac:dyDescent="0.4">
      <c r="A103" s="1" t="s">
        <v>132</v>
      </c>
      <c r="B103" s="635" t="s">
        <v>62</v>
      </c>
      <c r="C103" s="635"/>
      <c r="F103" s="306"/>
      <c r="G103" s="306"/>
      <c r="H103" s="319"/>
      <c r="I103" s="229">
        <f>H103*F$114</f>
        <v>0</v>
      </c>
      <c r="J103" s="307"/>
      <c r="K103" s="316">
        <f>(H103+I103)-J103</f>
        <v>0</v>
      </c>
    </row>
    <row r="104" spans="1:11" ht="18" customHeight="1" x14ac:dyDescent="0.4">
      <c r="A104" s="1" t="s">
        <v>128</v>
      </c>
      <c r="B104" s="655"/>
      <c r="C104" s="653"/>
      <c r="D104" s="654"/>
      <c r="F104" s="306"/>
      <c r="G104" s="306"/>
      <c r="H104" s="319"/>
      <c r="I104" s="229">
        <f>H104*F$114</f>
        <v>0</v>
      </c>
      <c r="J104" s="307"/>
      <c r="K104" s="316">
        <f>(H104+I104)-J104</f>
        <v>0</v>
      </c>
    </row>
    <row r="105" spans="1:11" ht="18" customHeight="1" x14ac:dyDescent="0.4">
      <c r="A105" s="1" t="s">
        <v>127</v>
      </c>
      <c r="B105" s="655"/>
      <c r="C105" s="653"/>
      <c r="D105" s="654"/>
      <c r="F105" s="306"/>
      <c r="G105" s="306"/>
      <c r="H105" s="319"/>
      <c r="I105" s="229">
        <f>H105*F$114</f>
        <v>0</v>
      </c>
      <c r="J105" s="307"/>
      <c r="K105" s="316">
        <f>(H105+I105)-J105</f>
        <v>0</v>
      </c>
    </row>
    <row r="106" spans="1:11" ht="18" customHeight="1" x14ac:dyDescent="0.4">
      <c r="A106" s="1" t="s">
        <v>129</v>
      </c>
      <c r="B106" s="655"/>
      <c r="C106" s="653"/>
      <c r="D106" s="654"/>
      <c r="F106" s="306"/>
      <c r="G106" s="306"/>
      <c r="H106" s="319"/>
      <c r="I106" s="229">
        <f>H106*F$114</f>
        <v>0</v>
      </c>
      <c r="J106" s="307"/>
      <c r="K106" s="316">
        <f>(H106+I106)-J106</f>
        <v>0</v>
      </c>
    </row>
    <row r="107" spans="1:11" ht="18" customHeight="1" x14ac:dyDescent="0.4">
      <c r="B107" s="95"/>
      <c r="H107" s="87"/>
    </row>
    <row r="108" spans="1:11" ht="18" customHeight="1" x14ac:dyDescent="0.4">
      <c r="A108" s="98" t="s">
        <v>153</v>
      </c>
      <c r="B108" s="95" t="s">
        <v>154</v>
      </c>
      <c r="E108" s="95" t="s">
        <v>7</v>
      </c>
      <c r="F108" s="310">
        <f t="shared" ref="F108:K108" si="16">SUM(F102:F106)</f>
        <v>750</v>
      </c>
      <c r="G108" s="310">
        <f t="shared" si="16"/>
        <v>0</v>
      </c>
      <c r="H108" s="351">
        <f t="shared" si="16"/>
        <v>73171.992307692301</v>
      </c>
      <c r="I108" s="351">
        <f t="shared" si="16"/>
        <v>39512.875846153845</v>
      </c>
      <c r="J108" s="308">
        <f t="shared" si="16"/>
        <v>0</v>
      </c>
      <c r="K108" s="308">
        <f t="shared" si="16"/>
        <v>112684.86815384615</v>
      </c>
    </row>
    <row r="109" spans="1:11" ht="18" customHeight="1" thickBot="1" x14ac:dyDescent="0.45">
      <c r="A109" s="100"/>
      <c r="B109" s="101"/>
      <c r="C109" s="102"/>
      <c r="D109" s="102"/>
      <c r="E109" s="102"/>
      <c r="F109" s="103"/>
      <c r="G109" s="103"/>
      <c r="H109" s="103"/>
      <c r="I109" s="372"/>
      <c r="J109" s="103"/>
      <c r="K109" s="103"/>
    </row>
    <row r="110" spans="1:11" ht="18" customHeight="1" x14ac:dyDescent="0.4">
      <c r="A110" s="98" t="s">
        <v>156</v>
      </c>
      <c r="B110" s="95" t="s">
        <v>39</v>
      </c>
    </row>
    <row r="111" spans="1:11" ht="18" customHeight="1" x14ac:dyDescent="0.4">
      <c r="A111" s="98" t="s">
        <v>155</v>
      </c>
      <c r="B111" s="95" t="s">
        <v>164</v>
      </c>
      <c r="E111" s="95" t="s">
        <v>7</v>
      </c>
      <c r="F111" s="307">
        <v>1382000</v>
      </c>
    </row>
    <row r="112" spans="1:11" ht="18" customHeight="1" x14ac:dyDescent="0.4">
      <c r="B112" s="95"/>
      <c r="E112" s="95"/>
    </row>
    <row r="113" spans="1:7" ht="18" customHeight="1" x14ac:dyDescent="0.4">
      <c r="A113" s="98"/>
      <c r="B113" s="95" t="s">
        <v>15</v>
      </c>
    </row>
    <row r="114" spans="1:7" ht="18" customHeight="1" x14ac:dyDescent="0.4">
      <c r="A114" s="1" t="s">
        <v>171</v>
      </c>
      <c r="B114" s="94" t="s">
        <v>35</v>
      </c>
      <c r="F114" s="568">
        <v>0.54</v>
      </c>
    </row>
    <row r="115" spans="1:7" ht="18" customHeight="1" x14ac:dyDescent="0.4">
      <c r="A115" s="1"/>
      <c r="B115" s="95"/>
    </row>
    <row r="116" spans="1:7" ht="18" customHeight="1" x14ac:dyDescent="0.4">
      <c r="A116" s="1" t="s">
        <v>170</v>
      </c>
      <c r="B116" s="95" t="s">
        <v>16</v>
      </c>
    </row>
    <row r="117" spans="1:7" ht="18" customHeight="1" x14ac:dyDescent="0.4">
      <c r="A117" s="1" t="s">
        <v>172</v>
      </c>
      <c r="B117" s="94" t="s">
        <v>17</v>
      </c>
      <c r="F117" s="307">
        <v>102949000</v>
      </c>
    </row>
    <row r="118" spans="1:7" ht="18" customHeight="1" x14ac:dyDescent="0.4">
      <c r="A118" s="1" t="s">
        <v>173</v>
      </c>
      <c r="B118" t="s">
        <v>18</v>
      </c>
      <c r="F118" s="307">
        <v>10731000</v>
      </c>
    </row>
    <row r="119" spans="1:7" ht="18" customHeight="1" x14ac:dyDescent="0.4">
      <c r="A119" s="1" t="s">
        <v>174</v>
      </c>
      <c r="B119" s="95" t="s">
        <v>19</v>
      </c>
      <c r="F119" s="308">
        <f>SUM(F117:F118)</f>
        <v>113680000</v>
      </c>
    </row>
    <row r="120" spans="1:7" ht="18" customHeight="1" x14ac:dyDescent="0.4">
      <c r="A120" s="1"/>
      <c r="B120" s="95"/>
    </row>
    <row r="121" spans="1:7" ht="18" customHeight="1" x14ac:dyDescent="0.4">
      <c r="A121" s="1" t="s">
        <v>167</v>
      </c>
      <c r="B121" s="95" t="s">
        <v>36</v>
      </c>
      <c r="F121" s="307">
        <v>108289000</v>
      </c>
      <c r="G121" s="131"/>
    </row>
    <row r="122" spans="1:7" ht="18" customHeight="1" x14ac:dyDescent="0.4">
      <c r="A122" s="1"/>
    </row>
    <row r="123" spans="1:7" ht="18" customHeight="1" x14ac:dyDescent="0.4">
      <c r="A123" s="1" t="s">
        <v>175</v>
      </c>
      <c r="B123" s="95" t="s">
        <v>20</v>
      </c>
      <c r="F123" s="307">
        <v>5391000</v>
      </c>
    </row>
    <row r="124" spans="1:7" ht="18" customHeight="1" x14ac:dyDescent="0.4">
      <c r="A124" s="1"/>
    </row>
    <row r="125" spans="1:7" ht="18" customHeight="1" x14ac:dyDescent="0.4">
      <c r="A125" s="1" t="s">
        <v>176</v>
      </c>
      <c r="B125" s="95" t="s">
        <v>21</v>
      </c>
      <c r="F125" s="307">
        <v>201000</v>
      </c>
    </row>
    <row r="126" spans="1:7" ht="18" customHeight="1" x14ac:dyDescent="0.4">
      <c r="A126" s="1"/>
    </row>
    <row r="127" spans="1:7" ht="18" customHeight="1" x14ac:dyDescent="0.4">
      <c r="A127" s="1" t="s">
        <v>177</v>
      </c>
      <c r="B127" s="95" t="s">
        <v>22</v>
      </c>
      <c r="F127" s="307">
        <v>5592000</v>
      </c>
    </row>
    <row r="128" spans="1:7" ht="18" customHeight="1" x14ac:dyDescent="0.4">
      <c r="A128" s="1"/>
    </row>
    <row r="129" spans="1:11" ht="42.75" customHeight="1" x14ac:dyDescent="0.4">
      <c r="F129" s="99" t="s">
        <v>9</v>
      </c>
      <c r="G129" s="99" t="s">
        <v>37</v>
      </c>
      <c r="H129" s="99" t="s">
        <v>29</v>
      </c>
      <c r="I129" s="230"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229">
        <v>0</v>
      </c>
      <c r="J131" s="307"/>
      <c r="K131" s="308">
        <f>(H131+I131)-J131</f>
        <v>0</v>
      </c>
    </row>
    <row r="132" spans="1:11" ht="18" customHeight="1" x14ac:dyDescent="0.4">
      <c r="A132" s="1" t="s">
        <v>159</v>
      </c>
      <c r="B132" t="s">
        <v>25</v>
      </c>
      <c r="F132" s="306"/>
      <c r="G132" s="306"/>
      <c r="H132" s="307"/>
      <c r="I132" s="229">
        <v>0</v>
      </c>
      <c r="J132" s="307"/>
      <c r="K132" s="308">
        <f>(H132+I132)-J132</f>
        <v>0</v>
      </c>
    </row>
    <row r="133" spans="1:11" ht="18" customHeight="1" x14ac:dyDescent="0.4">
      <c r="A133" s="1" t="s">
        <v>160</v>
      </c>
      <c r="B133" s="630"/>
      <c r="C133" s="631"/>
      <c r="D133" s="632"/>
      <c r="F133" s="306"/>
      <c r="G133" s="306"/>
      <c r="H133" s="307"/>
      <c r="I133" s="229">
        <v>0</v>
      </c>
      <c r="J133" s="307"/>
      <c r="K133" s="308">
        <f>(H133+I133)-J133</f>
        <v>0</v>
      </c>
    </row>
    <row r="134" spans="1:11" ht="18" customHeight="1" x14ac:dyDescent="0.4">
      <c r="A134" s="1" t="s">
        <v>161</v>
      </c>
      <c r="B134" s="630"/>
      <c r="C134" s="631"/>
      <c r="D134" s="632"/>
      <c r="F134" s="306"/>
      <c r="G134" s="306"/>
      <c r="H134" s="307"/>
      <c r="I134" s="229">
        <v>0</v>
      </c>
      <c r="J134" s="307"/>
      <c r="K134" s="308">
        <f>(H134+I134)-J134</f>
        <v>0</v>
      </c>
    </row>
    <row r="135" spans="1:11" ht="18" customHeight="1" x14ac:dyDescent="0.4">
      <c r="A135" s="1" t="s">
        <v>162</v>
      </c>
      <c r="B135" s="630"/>
      <c r="C135" s="631"/>
      <c r="D135" s="632"/>
      <c r="F135" s="306"/>
      <c r="G135" s="306"/>
      <c r="H135" s="307"/>
      <c r="I135" s="229">
        <v>0</v>
      </c>
      <c r="J135" s="307"/>
      <c r="K135" s="308">
        <f>(H135+I135)-J135</f>
        <v>0</v>
      </c>
    </row>
    <row r="136" spans="1:11" ht="18" customHeight="1" x14ac:dyDescent="0.4">
      <c r="A136" s="98"/>
    </row>
    <row r="137" spans="1:11" ht="18" customHeight="1" x14ac:dyDescent="0.4">
      <c r="A137" s="98" t="s">
        <v>163</v>
      </c>
      <c r="B137" s="95" t="s">
        <v>27</v>
      </c>
      <c r="F137" s="310">
        <f t="shared" ref="F137:K137" si="17">SUM(F131:F135)</f>
        <v>0</v>
      </c>
      <c r="G137" s="310">
        <f t="shared" si="17"/>
        <v>0</v>
      </c>
      <c r="H137" s="308">
        <f t="shared" si="17"/>
        <v>0</v>
      </c>
      <c r="I137" s="351">
        <f t="shared" si="17"/>
        <v>0</v>
      </c>
      <c r="J137" s="308">
        <f t="shared" si="17"/>
        <v>0</v>
      </c>
      <c r="K137" s="308">
        <f t="shared" si="17"/>
        <v>0</v>
      </c>
    </row>
    <row r="138" spans="1:11" ht="18" customHeight="1" x14ac:dyDescent="0.4">
      <c r="A138"/>
    </row>
    <row r="139" spans="1:11" ht="42.75" customHeight="1" x14ac:dyDescent="0.4">
      <c r="F139" s="99" t="s">
        <v>9</v>
      </c>
      <c r="G139" s="99" t="s">
        <v>37</v>
      </c>
      <c r="H139" s="99" t="s">
        <v>29</v>
      </c>
      <c r="I139" s="230"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8">F36</f>
        <v>1008</v>
      </c>
      <c r="G141" s="109">
        <f t="shared" si="18"/>
        <v>1538</v>
      </c>
      <c r="H141" s="217">
        <f t="shared" si="18"/>
        <v>74962</v>
      </c>
      <c r="I141" s="217">
        <f t="shared" si="18"/>
        <v>40479.480000000003</v>
      </c>
      <c r="J141" s="217">
        <f t="shared" si="18"/>
        <v>0</v>
      </c>
      <c r="K141" s="106">
        <f t="shared" si="18"/>
        <v>115441.48</v>
      </c>
    </row>
    <row r="142" spans="1:11" ht="18" customHeight="1" x14ac:dyDescent="0.4">
      <c r="A142" s="1" t="s">
        <v>142</v>
      </c>
      <c r="B142" s="95" t="s">
        <v>65</v>
      </c>
      <c r="F142" s="109">
        <f t="shared" ref="F142:K142" si="19">F49</f>
        <v>72450.243507807565</v>
      </c>
      <c r="G142" s="109">
        <f t="shared" si="19"/>
        <v>503</v>
      </c>
      <c r="H142" s="217">
        <f t="shared" si="19"/>
        <v>4823272.55</v>
      </c>
      <c r="I142" s="217">
        <f t="shared" si="19"/>
        <v>2604567.1770000001</v>
      </c>
      <c r="J142" s="217">
        <f t="shared" si="19"/>
        <v>0</v>
      </c>
      <c r="K142" s="106">
        <f t="shared" si="19"/>
        <v>7427839.727</v>
      </c>
    </row>
    <row r="143" spans="1:11" ht="18" customHeight="1" x14ac:dyDescent="0.4">
      <c r="A143" s="1" t="s">
        <v>144</v>
      </c>
      <c r="B143" s="95" t="s">
        <v>66</v>
      </c>
      <c r="F143" s="109">
        <f t="shared" ref="F143:K143" si="20">F64</f>
        <v>34276.6</v>
      </c>
      <c r="G143" s="109">
        <f t="shared" si="20"/>
        <v>6225</v>
      </c>
      <c r="H143" s="217">
        <f t="shared" si="20"/>
        <v>2145659</v>
      </c>
      <c r="I143" s="217">
        <f t="shared" si="20"/>
        <v>1158655.8600000001</v>
      </c>
      <c r="J143" s="217">
        <f t="shared" si="20"/>
        <v>912000</v>
      </c>
      <c r="K143" s="106">
        <f t="shared" si="20"/>
        <v>2392314.86</v>
      </c>
    </row>
    <row r="144" spans="1:11" ht="18" customHeight="1" x14ac:dyDescent="0.4">
      <c r="A144" s="1" t="s">
        <v>146</v>
      </c>
      <c r="B144" s="95" t="s">
        <v>67</v>
      </c>
      <c r="F144" s="109">
        <f t="shared" ref="F144:K144" si="21">F74</f>
        <v>0</v>
      </c>
      <c r="G144" s="109">
        <f t="shared" si="21"/>
        <v>0</v>
      </c>
      <c r="H144" s="217">
        <f t="shared" si="21"/>
        <v>0</v>
      </c>
      <c r="I144" s="217">
        <f t="shared" si="21"/>
        <v>0</v>
      </c>
      <c r="J144" s="217">
        <f t="shared" si="21"/>
        <v>0</v>
      </c>
      <c r="K144" s="106">
        <f t="shared" si="21"/>
        <v>0</v>
      </c>
    </row>
    <row r="145" spans="1:11" ht="18" customHeight="1" x14ac:dyDescent="0.4">
      <c r="A145" s="1" t="s">
        <v>148</v>
      </c>
      <c r="B145" s="95" t="s">
        <v>68</v>
      </c>
      <c r="F145" s="109">
        <f t="shared" ref="F145:K145" si="22">F82</f>
        <v>0</v>
      </c>
      <c r="G145" s="109">
        <f t="shared" si="22"/>
        <v>0</v>
      </c>
      <c r="H145" s="217">
        <f t="shared" si="22"/>
        <v>28500</v>
      </c>
      <c r="I145" s="217">
        <f t="shared" si="22"/>
        <v>15390.000000000002</v>
      </c>
      <c r="J145" s="217">
        <f t="shared" si="22"/>
        <v>0</v>
      </c>
      <c r="K145" s="106">
        <f t="shared" si="22"/>
        <v>43890</v>
      </c>
    </row>
    <row r="146" spans="1:11" ht="18" customHeight="1" x14ac:dyDescent="0.4">
      <c r="A146" s="1" t="s">
        <v>150</v>
      </c>
      <c r="B146" s="95" t="s">
        <v>69</v>
      </c>
      <c r="F146" s="109">
        <f t="shared" ref="F146:K146" si="23">F98</f>
        <v>0</v>
      </c>
      <c r="G146" s="109">
        <f t="shared" si="23"/>
        <v>0</v>
      </c>
      <c r="H146" s="217">
        <f t="shared" si="23"/>
        <v>0</v>
      </c>
      <c r="I146" s="217">
        <f t="shared" si="23"/>
        <v>0</v>
      </c>
      <c r="J146" s="217">
        <f t="shared" si="23"/>
        <v>0</v>
      </c>
      <c r="K146" s="106">
        <f t="shared" si="23"/>
        <v>0</v>
      </c>
    </row>
    <row r="147" spans="1:11" ht="18" customHeight="1" x14ac:dyDescent="0.4">
      <c r="A147" s="1" t="s">
        <v>153</v>
      </c>
      <c r="B147" s="95" t="s">
        <v>61</v>
      </c>
      <c r="F147" s="310">
        <f t="shared" ref="F147:K147" si="24">F108</f>
        <v>750</v>
      </c>
      <c r="G147" s="310">
        <f t="shared" si="24"/>
        <v>0</v>
      </c>
      <c r="H147" s="351">
        <f t="shared" si="24"/>
        <v>73171.992307692301</v>
      </c>
      <c r="I147" s="351">
        <f t="shared" si="24"/>
        <v>39512.875846153845</v>
      </c>
      <c r="J147" s="351">
        <f t="shared" si="24"/>
        <v>0</v>
      </c>
      <c r="K147" s="308">
        <f t="shared" si="24"/>
        <v>112684.86815384615</v>
      </c>
    </row>
    <row r="148" spans="1:11" ht="18" customHeight="1" x14ac:dyDescent="0.4">
      <c r="A148" s="1" t="s">
        <v>155</v>
      </c>
      <c r="B148" s="95" t="s">
        <v>70</v>
      </c>
      <c r="F148" s="110" t="s">
        <v>73</v>
      </c>
      <c r="G148" s="110" t="s">
        <v>73</v>
      </c>
      <c r="H148" s="111" t="s">
        <v>73</v>
      </c>
      <c r="I148" s="569" t="s">
        <v>73</v>
      </c>
      <c r="J148" s="111" t="s">
        <v>73</v>
      </c>
      <c r="K148" s="106">
        <f>F111</f>
        <v>1382000</v>
      </c>
    </row>
    <row r="149" spans="1:11" ht="18" customHeight="1" x14ac:dyDescent="0.4">
      <c r="A149" s="1" t="s">
        <v>163</v>
      </c>
      <c r="B149" s="95" t="s">
        <v>71</v>
      </c>
      <c r="F149" s="310">
        <f t="shared" ref="F149:K149" si="25">F137</f>
        <v>0</v>
      </c>
      <c r="G149" s="310">
        <f t="shared" si="25"/>
        <v>0</v>
      </c>
      <c r="H149" s="308">
        <f t="shared" si="25"/>
        <v>0</v>
      </c>
      <c r="I149" s="351">
        <f t="shared" si="25"/>
        <v>0</v>
      </c>
      <c r="J149" s="308">
        <f t="shared" si="25"/>
        <v>0</v>
      </c>
      <c r="K149" s="308">
        <f t="shared" si="25"/>
        <v>0</v>
      </c>
    </row>
    <row r="150" spans="1:11" ht="18" customHeight="1" x14ac:dyDescent="0.4">
      <c r="A150" s="1" t="s">
        <v>185</v>
      </c>
      <c r="B150" s="95" t="s">
        <v>186</v>
      </c>
      <c r="F150" s="110" t="s">
        <v>73</v>
      </c>
      <c r="G150" s="110" t="s">
        <v>73</v>
      </c>
      <c r="H150" s="308">
        <f>H18</f>
        <v>2403072.4700000002</v>
      </c>
      <c r="I150" s="351">
        <f>I18</f>
        <v>0</v>
      </c>
      <c r="J150" s="308">
        <f>J18</f>
        <v>1991594.74</v>
      </c>
      <c r="K150" s="308">
        <f>K18</f>
        <v>411477.73000000021</v>
      </c>
    </row>
    <row r="151" spans="1:11" ht="18" customHeight="1" x14ac:dyDescent="0.4">
      <c r="B151" s="95"/>
      <c r="F151" s="113"/>
      <c r="G151" s="113"/>
      <c r="H151" s="543"/>
      <c r="I151" s="222"/>
      <c r="J151" s="543"/>
      <c r="K151" s="570"/>
    </row>
    <row r="152" spans="1:11" ht="18" customHeight="1" x14ac:dyDescent="0.4">
      <c r="A152" s="98" t="s">
        <v>165</v>
      </c>
      <c r="B152" s="95" t="s">
        <v>26</v>
      </c>
      <c r="F152" s="114">
        <f t="shared" ref="F152:K152" si="26">SUM(F141:F150)</f>
        <v>108484.84350780756</v>
      </c>
      <c r="G152" s="114">
        <f t="shared" si="26"/>
        <v>8266</v>
      </c>
      <c r="H152" s="427">
        <f t="shared" si="26"/>
        <v>9548638.0123076923</v>
      </c>
      <c r="I152" s="417">
        <f t="shared" si="26"/>
        <v>3858605.392846154</v>
      </c>
      <c r="J152" s="427">
        <f t="shared" si="26"/>
        <v>2903594.74</v>
      </c>
      <c r="K152" s="427">
        <f t="shared" si="26"/>
        <v>11885648.665153846</v>
      </c>
    </row>
    <row r="154" spans="1:11" ht="18" customHeight="1" x14ac:dyDescent="0.4">
      <c r="A154" s="98" t="s">
        <v>168</v>
      </c>
      <c r="B154" s="95" t="s">
        <v>28</v>
      </c>
      <c r="F154" s="318">
        <f>K152/F121</f>
        <v>0.10975859658094402</v>
      </c>
    </row>
    <row r="155" spans="1:11" ht="18" customHeight="1" x14ac:dyDescent="0.4">
      <c r="A155" s="98" t="s">
        <v>169</v>
      </c>
      <c r="B155" s="95" t="s">
        <v>72</v>
      </c>
      <c r="F155" s="318">
        <f>K152/F127</f>
        <v>2.1254736525668538</v>
      </c>
      <c r="G155" s="95"/>
    </row>
    <row r="156" spans="1:11" ht="18" customHeight="1" x14ac:dyDescent="0.4">
      <c r="G156" s="95"/>
    </row>
  </sheetData>
  <mergeCells count="38">
    <mergeCell ref="B134:D134"/>
    <mergeCell ref="B135:D135"/>
    <mergeCell ref="B96:D96"/>
    <mergeCell ref="B104:D104"/>
    <mergeCell ref="B105:D105"/>
    <mergeCell ref="B106:D106"/>
    <mergeCell ref="B133:D133"/>
    <mergeCell ref="B59:D59"/>
    <mergeCell ref="B60:D60"/>
    <mergeCell ref="B62:D62"/>
    <mergeCell ref="B94:D94"/>
    <mergeCell ref="B95:D95"/>
    <mergeCell ref="B54:D54"/>
    <mergeCell ref="B55:D55"/>
    <mergeCell ref="B56:D56"/>
    <mergeCell ref="B57:D57"/>
    <mergeCell ref="B58:D58"/>
    <mergeCell ref="B52:C52"/>
    <mergeCell ref="B90:C90"/>
    <mergeCell ref="B103:C103"/>
    <mergeCell ref="B41:C41"/>
    <mergeCell ref="C10:G10"/>
    <mergeCell ref="C11:G11"/>
    <mergeCell ref="B13:H13"/>
    <mergeCell ref="B30:D30"/>
    <mergeCell ref="B31:D31"/>
    <mergeCell ref="B32:D32"/>
    <mergeCell ref="B34:D34"/>
    <mergeCell ref="B44:D44"/>
    <mergeCell ref="B45:D45"/>
    <mergeCell ref="B46:D46"/>
    <mergeCell ref="B47:D47"/>
    <mergeCell ref="B53:D53"/>
    <mergeCell ref="D2:H2"/>
    <mergeCell ref="C5:G5"/>
    <mergeCell ref="C6:G6"/>
    <mergeCell ref="C7:G7"/>
    <mergeCell ref="C9:G9"/>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7"/>
  <dimension ref="A1:P162"/>
  <sheetViews>
    <sheetView showGridLines="0" topLeftCell="A11" zoomScale="80" zoomScaleNormal="80" zoomScaleSheetLayoutView="100" workbookViewId="0">
      <selection activeCell="H113" sqref="H113"/>
    </sheetView>
  </sheetViews>
  <sheetFormatPr defaultColWidth="8.71875" defaultRowHeight="18" customHeight="1" x14ac:dyDescent="0.4"/>
  <cols>
    <col min="1" max="1" width="8.164062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 min="12" max="12" width="7" style="193" bestFit="1" customWidth="1"/>
    <col min="13" max="13" width="23.5546875" customWidth="1"/>
    <col min="14" max="14" width="15.1640625" style="186" bestFit="1" customWidth="1"/>
    <col min="15" max="15" width="13.83203125" style="186" bestFit="1" customWidth="1"/>
    <col min="16" max="16" width="104.1640625" bestFit="1" customWidth="1"/>
  </cols>
  <sheetData>
    <row r="1" spans="1:16" ht="18" customHeight="1" x14ac:dyDescent="0.4">
      <c r="C1" s="97"/>
      <c r="D1" s="96"/>
      <c r="E1" s="97"/>
      <c r="F1" s="97"/>
      <c r="G1" s="97"/>
      <c r="H1" s="97"/>
      <c r="I1" s="97"/>
      <c r="J1" s="97"/>
      <c r="K1" s="97"/>
    </row>
    <row r="2" spans="1:16" ht="18" customHeight="1" x14ac:dyDescent="0.5">
      <c r="D2" s="628" t="s">
        <v>654</v>
      </c>
      <c r="E2" s="629"/>
      <c r="F2" s="629"/>
      <c r="G2" s="629"/>
      <c r="H2" s="629"/>
    </row>
    <row r="3" spans="1:16" ht="18" customHeight="1" x14ac:dyDescent="0.4">
      <c r="B3" s="95" t="s">
        <v>0</v>
      </c>
    </row>
    <row r="5" spans="1:16" ht="18" customHeight="1" x14ac:dyDescent="0.4">
      <c r="B5" s="1" t="s">
        <v>40</v>
      </c>
      <c r="C5" s="663" t="s">
        <v>403</v>
      </c>
      <c r="D5" s="666"/>
      <c r="E5" s="666"/>
      <c r="F5" s="666"/>
      <c r="G5" s="667"/>
    </row>
    <row r="6" spans="1:16" ht="18" customHeight="1" x14ac:dyDescent="0.4">
      <c r="B6" s="1" t="s">
        <v>3</v>
      </c>
      <c r="C6" s="663">
        <v>210056</v>
      </c>
      <c r="D6" s="666"/>
      <c r="E6" s="666"/>
      <c r="F6" s="666"/>
      <c r="G6" s="667"/>
      <c r="N6" s="218"/>
      <c r="O6" s="218"/>
    </row>
    <row r="7" spans="1:16" ht="18" customHeight="1" x14ac:dyDescent="0.55000000000000004">
      <c r="B7" s="1" t="s">
        <v>4</v>
      </c>
      <c r="C7" s="663" t="s">
        <v>842</v>
      </c>
      <c r="D7" s="666"/>
      <c r="E7" s="666"/>
      <c r="F7" s="666"/>
      <c r="G7" s="667"/>
      <c r="N7" s="219"/>
      <c r="O7" s="510"/>
      <c r="P7" s="511"/>
    </row>
    <row r="8" spans="1:16" ht="18" customHeight="1" x14ac:dyDescent="0.55000000000000004">
      <c r="N8" s="219"/>
      <c r="O8" s="510"/>
      <c r="P8" s="511"/>
    </row>
    <row r="9" spans="1:16" ht="18" customHeight="1" x14ac:dyDescent="0.4">
      <c r="B9" s="1" t="s">
        <v>1</v>
      </c>
      <c r="C9" s="663" t="s">
        <v>433</v>
      </c>
      <c r="D9" s="666"/>
      <c r="E9" s="666"/>
      <c r="F9" s="666"/>
      <c r="G9" s="667"/>
      <c r="N9" s="218"/>
      <c r="O9" s="218"/>
    </row>
    <row r="10" spans="1:16" ht="18" customHeight="1" x14ac:dyDescent="0.4">
      <c r="B10" s="1" t="s">
        <v>2</v>
      </c>
      <c r="C10" s="660" t="s">
        <v>434</v>
      </c>
      <c r="D10" s="661"/>
      <c r="E10" s="661"/>
      <c r="F10" s="661"/>
      <c r="G10" s="662"/>
      <c r="N10" s="218"/>
      <c r="O10" s="218"/>
    </row>
    <row r="11" spans="1:16" ht="18" customHeight="1" x14ac:dyDescent="0.55000000000000004">
      <c r="B11" s="1" t="s">
        <v>32</v>
      </c>
      <c r="C11" s="749" t="s">
        <v>435</v>
      </c>
      <c r="D11" s="664"/>
      <c r="E11" s="664"/>
      <c r="F11" s="664"/>
      <c r="G11" s="664"/>
    </row>
    <row r="12" spans="1:16" ht="18" customHeight="1" x14ac:dyDescent="0.4">
      <c r="B12" s="1"/>
      <c r="C12" s="1"/>
      <c r="D12" s="1"/>
      <c r="E12" s="1"/>
      <c r="F12" s="1"/>
      <c r="G12" s="1"/>
    </row>
    <row r="13" spans="1:16" ht="24.7" customHeight="1" x14ac:dyDescent="0.4">
      <c r="B13" s="637"/>
      <c r="C13" s="638"/>
      <c r="D13" s="638"/>
      <c r="E13" s="638"/>
      <c r="F13" s="638"/>
      <c r="G13" s="638"/>
      <c r="H13" s="639"/>
      <c r="I13" s="97"/>
    </row>
    <row r="14" spans="1:16" ht="18" customHeight="1" x14ac:dyDescent="0.4">
      <c r="B14" s="393"/>
    </row>
    <row r="15" spans="1:16" ht="18" customHeight="1" x14ac:dyDescent="0.4">
      <c r="B15" s="393"/>
    </row>
    <row r="16" spans="1:16"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19">
        <v>4876356.24</v>
      </c>
      <c r="I18" s="229">
        <v>0</v>
      </c>
      <c r="J18" s="319">
        <v>4041378.51</v>
      </c>
      <c r="K18" s="351">
        <f>H18-J18</f>
        <v>834977.73000000045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244.5</v>
      </c>
      <c r="G21" s="306">
        <v>15362</v>
      </c>
      <c r="H21" s="319">
        <v>20485</v>
      </c>
      <c r="I21" s="319">
        <v>329</v>
      </c>
      <c r="J21" s="319">
        <v>0</v>
      </c>
      <c r="K21" s="319">
        <v>20814</v>
      </c>
    </row>
    <row r="22" spans="1:11" ht="18" customHeight="1" x14ac:dyDescent="0.4">
      <c r="A22" s="1" t="s">
        <v>76</v>
      </c>
      <c r="B22" t="s">
        <v>6</v>
      </c>
      <c r="F22" s="306">
        <v>132</v>
      </c>
      <c r="G22" s="306">
        <v>404</v>
      </c>
      <c r="H22" s="319">
        <v>6703</v>
      </c>
      <c r="I22" s="319">
        <v>5411</v>
      </c>
      <c r="J22" s="319">
        <v>0</v>
      </c>
      <c r="K22" s="319">
        <v>12114</v>
      </c>
    </row>
    <row r="23" spans="1:11" ht="18" customHeight="1" x14ac:dyDescent="0.4">
      <c r="A23" s="1" t="s">
        <v>77</v>
      </c>
      <c r="B23" t="s">
        <v>43</v>
      </c>
      <c r="F23" s="306">
        <v>1963.5</v>
      </c>
      <c r="G23" s="306">
        <v>9490</v>
      </c>
      <c r="H23" s="319">
        <v>71794</v>
      </c>
      <c r="I23" s="319">
        <v>44311</v>
      </c>
      <c r="J23" s="319">
        <v>21105</v>
      </c>
      <c r="K23" s="319">
        <v>95000</v>
      </c>
    </row>
    <row r="24" spans="1:11" ht="18" customHeight="1" x14ac:dyDescent="0.4">
      <c r="A24" s="1" t="s">
        <v>78</v>
      </c>
      <c r="B24" t="s">
        <v>44</v>
      </c>
      <c r="F24" s="306">
        <v>5302</v>
      </c>
      <c r="G24" s="306">
        <v>564</v>
      </c>
      <c r="H24" s="319">
        <v>498160</v>
      </c>
      <c r="I24" s="319">
        <v>395175</v>
      </c>
      <c r="J24" s="319">
        <v>489623</v>
      </c>
      <c r="K24" s="319">
        <v>403712</v>
      </c>
    </row>
    <row r="25" spans="1:11" ht="18" customHeight="1" x14ac:dyDescent="0.4">
      <c r="A25" s="1" t="s">
        <v>79</v>
      </c>
      <c r="B25" t="s">
        <v>5</v>
      </c>
      <c r="F25" s="306">
        <v>3070.75</v>
      </c>
      <c r="G25" s="306">
        <v>40498</v>
      </c>
      <c r="H25" s="319">
        <v>155819</v>
      </c>
      <c r="I25" s="319">
        <v>123336</v>
      </c>
      <c r="J25" s="319">
        <v>220</v>
      </c>
      <c r="K25" s="319">
        <v>278935</v>
      </c>
    </row>
    <row r="26" spans="1:11" ht="18" customHeight="1" x14ac:dyDescent="0.4">
      <c r="A26" s="1" t="s">
        <v>80</v>
      </c>
      <c r="B26" t="s">
        <v>45</v>
      </c>
      <c r="F26" s="306">
        <v>0</v>
      </c>
      <c r="G26" s="306">
        <v>0</v>
      </c>
      <c r="H26" s="319">
        <v>500</v>
      </c>
      <c r="I26" s="319">
        <v>0</v>
      </c>
      <c r="J26" s="319">
        <v>0</v>
      </c>
      <c r="K26" s="319">
        <v>500</v>
      </c>
    </row>
    <row r="27" spans="1:11" ht="18" customHeight="1" x14ac:dyDescent="0.4">
      <c r="A27" s="1" t="s">
        <v>81</v>
      </c>
      <c r="B27" t="s">
        <v>46</v>
      </c>
      <c r="F27" s="306"/>
      <c r="G27" s="306"/>
      <c r="H27" s="319"/>
      <c r="I27" s="319"/>
      <c r="J27" s="319"/>
      <c r="K27" s="319"/>
    </row>
    <row r="28" spans="1:11" ht="18" customHeight="1" x14ac:dyDescent="0.4">
      <c r="A28" s="1" t="s">
        <v>82</v>
      </c>
      <c r="B28" t="s">
        <v>47</v>
      </c>
      <c r="F28" s="306"/>
      <c r="G28" s="306"/>
      <c r="H28" s="319"/>
      <c r="I28" s="319"/>
      <c r="J28" s="319"/>
      <c r="K28" s="319"/>
    </row>
    <row r="29" spans="1:11" ht="18" customHeight="1" x14ac:dyDescent="0.4">
      <c r="A29" s="1" t="s">
        <v>83</v>
      </c>
      <c r="B29" t="s">
        <v>48</v>
      </c>
      <c r="F29" s="306">
        <v>6524</v>
      </c>
      <c r="G29" s="306">
        <v>0</v>
      </c>
      <c r="H29" s="319">
        <v>657740</v>
      </c>
      <c r="I29" s="319">
        <v>144974</v>
      </c>
      <c r="J29" s="319">
        <v>4000</v>
      </c>
      <c r="K29" s="319">
        <v>798714</v>
      </c>
    </row>
    <row r="30" spans="1:11" ht="18" customHeight="1" x14ac:dyDescent="0.55000000000000004">
      <c r="A30" s="1" t="s">
        <v>84</v>
      </c>
      <c r="B30" s="746" t="s">
        <v>229</v>
      </c>
      <c r="C30" s="747"/>
      <c r="D30" s="748"/>
      <c r="F30" s="306">
        <v>0</v>
      </c>
      <c r="G30" s="306">
        <v>0</v>
      </c>
      <c r="H30" s="319">
        <v>0</v>
      </c>
      <c r="I30" s="319">
        <v>0</v>
      </c>
      <c r="J30" s="319">
        <v>0</v>
      </c>
      <c r="K30" s="319">
        <v>0</v>
      </c>
    </row>
    <row r="31" spans="1:11" ht="18" customHeight="1" x14ac:dyDescent="0.4">
      <c r="A31" s="1" t="s">
        <v>133</v>
      </c>
      <c r="B31" s="630"/>
      <c r="C31" s="631"/>
      <c r="D31" s="632"/>
      <c r="F31" s="306"/>
      <c r="G31" s="306"/>
      <c r="H31" s="319"/>
      <c r="I31" s="229"/>
      <c r="J31" s="319"/>
      <c r="K31" s="351"/>
    </row>
    <row r="32" spans="1:11" ht="18" customHeight="1" x14ac:dyDescent="0.4">
      <c r="A32" s="1" t="s">
        <v>134</v>
      </c>
      <c r="B32" s="394"/>
      <c r="C32" s="395"/>
      <c r="D32" s="396"/>
      <c r="F32" s="306"/>
      <c r="G32" s="309"/>
      <c r="H32" s="319"/>
      <c r="I32" s="229"/>
      <c r="J32" s="319"/>
      <c r="K32" s="351"/>
    </row>
    <row r="33" spans="1:11" ht="18" customHeight="1" x14ac:dyDescent="0.4">
      <c r="A33" s="1" t="s">
        <v>135</v>
      </c>
      <c r="B33" s="394"/>
      <c r="C33" s="395"/>
      <c r="D33" s="396"/>
      <c r="F33" s="306"/>
      <c r="G33" s="309"/>
      <c r="H33" s="319"/>
      <c r="I33" s="229"/>
      <c r="J33" s="319"/>
      <c r="K33" s="351"/>
    </row>
    <row r="34" spans="1:11" ht="18" customHeight="1" x14ac:dyDescent="0.4">
      <c r="A34" s="1" t="s">
        <v>136</v>
      </c>
      <c r="B34" s="630"/>
      <c r="C34" s="631"/>
      <c r="D34" s="632"/>
      <c r="F34" s="306"/>
      <c r="G34" s="309"/>
      <c r="H34" s="319"/>
      <c r="I34" s="229"/>
      <c r="J34" s="319"/>
      <c r="K34" s="351"/>
    </row>
    <row r="35" spans="1:11" ht="18" customHeight="1" x14ac:dyDescent="0.4">
      <c r="H35" s="87"/>
      <c r="I35" s="87"/>
      <c r="J35" s="87"/>
      <c r="K35" s="487"/>
    </row>
    <row r="36" spans="1:11" ht="18" customHeight="1" x14ac:dyDescent="0.4">
      <c r="A36" s="98" t="s">
        <v>137</v>
      </c>
      <c r="B36" s="95" t="s">
        <v>138</v>
      </c>
      <c r="E36" s="95" t="s">
        <v>7</v>
      </c>
      <c r="F36" s="310">
        <v>17236.75</v>
      </c>
      <c r="G36" s="310">
        <v>66318</v>
      </c>
      <c r="H36" s="351">
        <v>1411201</v>
      </c>
      <c r="I36" s="351">
        <v>713536</v>
      </c>
      <c r="J36" s="351">
        <v>514948</v>
      </c>
      <c r="K36" s="351">
        <v>1609789</v>
      </c>
    </row>
    <row r="37" spans="1:11" ht="18" customHeight="1" thickBot="1" x14ac:dyDescent="0.45">
      <c r="B37" s="95"/>
      <c r="F37" s="398"/>
      <c r="G37" s="398"/>
      <c r="H37" s="398"/>
      <c r="I37" s="398"/>
      <c r="J37" s="398"/>
      <c r="K37" s="398"/>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55871</v>
      </c>
      <c r="G40" s="306">
        <v>0</v>
      </c>
      <c r="H40" s="306">
        <v>4301174</v>
      </c>
      <c r="I40" s="306">
        <v>3470182</v>
      </c>
      <c r="J40" s="306">
        <v>0</v>
      </c>
      <c r="K40" s="306">
        <v>7771356</v>
      </c>
    </row>
    <row r="41" spans="1:11" ht="18" customHeight="1" x14ac:dyDescent="0.4">
      <c r="A41" s="1" t="s">
        <v>88</v>
      </c>
      <c r="B41" s="635" t="s">
        <v>50</v>
      </c>
      <c r="C41" s="636"/>
      <c r="F41" s="306">
        <v>26045</v>
      </c>
      <c r="G41" s="306">
        <v>0</v>
      </c>
      <c r="H41" s="306">
        <v>1194150</v>
      </c>
      <c r="I41" s="306">
        <v>959784</v>
      </c>
      <c r="J41" s="306">
        <v>400</v>
      </c>
      <c r="K41" s="306">
        <v>2153534</v>
      </c>
    </row>
    <row r="42" spans="1:11" ht="18" customHeight="1" x14ac:dyDescent="0.4">
      <c r="A42" s="1" t="s">
        <v>89</v>
      </c>
      <c r="B42" s="94" t="s">
        <v>11</v>
      </c>
      <c r="F42" s="306"/>
      <c r="G42" s="306"/>
      <c r="H42" s="307"/>
      <c r="I42" s="307"/>
      <c r="J42" s="307"/>
      <c r="K42" s="307"/>
    </row>
    <row r="43" spans="1:11" ht="18" customHeight="1" x14ac:dyDescent="0.4">
      <c r="A43" s="1" t="s">
        <v>90</v>
      </c>
      <c r="B43" s="94" t="s">
        <v>10</v>
      </c>
      <c r="F43" s="306"/>
      <c r="G43" s="306"/>
      <c r="H43" s="307"/>
      <c r="I43" s="115"/>
      <c r="J43" s="307"/>
      <c r="K43" s="308"/>
    </row>
    <row r="44" spans="1:11" ht="18" customHeight="1" x14ac:dyDescent="0.4">
      <c r="A44" s="1" t="s">
        <v>91</v>
      </c>
      <c r="B44" s="630"/>
      <c r="C44" s="631"/>
      <c r="D44" s="632"/>
      <c r="F44" s="311"/>
      <c r="G44" s="311"/>
      <c r="H44" s="311"/>
      <c r="I44" s="116"/>
      <c r="J44" s="311"/>
      <c r="K44" s="353"/>
    </row>
    <row r="45" spans="1:11" ht="18" customHeight="1" x14ac:dyDescent="0.4">
      <c r="A45" s="1" t="s">
        <v>139</v>
      </c>
      <c r="B45" s="630"/>
      <c r="C45" s="631"/>
      <c r="D45" s="632"/>
      <c r="F45" s="306"/>
      <c r="G45" s="306"/>
      <c r="H45" s="307"/>
      <c r="I45" s="115"/>
      <c r="J45" s="307"/>
      <c r="K45" s="308"/>
    </row>
    <row r="46" spans="1:11" ht="18" customHeight="1" x14ac:dyDescent="0.4">
      <c r="A46" s="1" t="s">
        <v>140</v>
      </c>
      <c r="B46" s="630"/>
      <c r="C46" s="631"/>
      <c r="D46" s="632"/>
      <c r="F46" s="306"/>
      <c r="G46" s="306"/>
      <c r="H46" s="307"/>
      <c r="I46" s="115"/>
      <c r="J46" s="307"/>
      <c r="K46" s="308"/>
    </row>
    <row r="47" spans="1:11" ht="18" customHeight="1" x14ac:dyDescent="0.4">
      <c r="A47" s="1" t="s">
        <v>141</v>
      </c>
      <c r="B47" s="630"/>
      <c r="C47" s="631"/>
      <c r="D47" s="632"/>
      <c r="F47" s="306"/>
      <c r="G47" s="306"/>
      <c r="H47" s="307"/>
      <c r="I47" s="115"/>
      <c r="J47" s="307"/>
      <c r="K47" s="308"/>
    </row>
    <row r="49" spans="1:13" ht="18" customHeight="1" x14ac:dyDescent="0.4">
      <c r="A49" s="98" t="s">
        <v>142</v>
      </c>
      <c r="B49" s="95" t="s">
        <v>143</v>
      </c>
      <c r="E49" s="95" t="s">
        <v>7</v>
      </c>
      <c r="F49" s="341">
        <v>81916</v>
      </c>
      <c r="G49" s="341">
        <v>0</v>
      </c>
      <c r="H49" s="351">
        <v>5495324</v>
      </c>
      <c r="I49" s="351">
        <v>4429966</v>
      </c>
      <c r="J49" s="351">
        <v>400</v>
      </c>
      <c r="K49" s="351">
        <v>9924890</v>
      </c>
    </row>
    <row r="50" spans="1:13" ht="18" customHeight="1" thickBot="1" x14ac:dyDescent="0.45">
      <c r="G50" s="103"/>
      <c r="H50" s="103"/>
      <c r="I50" s="103"/>
      <c r="J50" s="103"/>
      <c r="K50" s="103"/>
    </row>
    <row r="51" spans="1:13" ht="42.75" customHeight="1" x14ac:dyDescent="0.4">
      <c r="F51" s="99" t="s">
        <v>9</v>
      </c>
      <c r="G51" s="99" t="s">
        <v>37</v>
      </c>
      <c r="H51" s="99" t="s">
        <v>29</v>
      </c>
      <c r="I51" s="99" t="s">
        <v>30</v>
      </c>
      <c r="J51" s="99" t="s">
        <v>33</v>
      </c>
      <c r="K51" s="99" t="s">
        <v>34</v>
      </c>
    </row>
    <row r="52" spans="1:13" ht="18" customHeight="1" x14ac:dyDescent="0.4">
      <c r="A52" s="98" t="s">
        <v>92</v>
      </c>
      <c r="B52" s="656" t="s">
        <v>38</v>
      </c>
      <c r="C52" s="657"/>
    </row>
    <row r="53" spans="1:13" ht="18" customHeight="1" x14ac:dyDescent="0.4">
      <c r="A53" s="1" t="s">
        <v>51</v>
      </c>
      <c r="B53" s="400" t="s">
        <v>229</v>
      </c>
      <c r="C53" s="401"/>
      <c r="D53" s="402"/>
      <c r="F53" s="306"/>
      <c r="G53" s="306"/>
      <c r="H53" s="306">
        <v>6612267</v>
      </c>
      <c r="I53" s="306">
        <v>0</v>
      </c>
      <c r="J53" s="306">
        <v>3589799</v>
      </c>
      <c r="K53" s="306">
        <v>3022468</v>
      </c>
    </row>
    <row r="54" spans="1:13" ht="18" customHeight="1" x14ac:dyDescent="0.4">
      <c r="A54" s="1" t="s">
        <v>439</v>
      </c>
      <c r="B54" s="655" t="s">
        <v>398</v>
      </c>
      <c r="C54" s="653"/>
      <c r="D54" s="654"/>
      <c r="F54" s="306"/>
      <c r="G54" s="306"/>
      <c r="H54" s="306"/>
      <c r="I54" s="306"/>
      <c r="J54" s="306"/>
      <c r="K54" s="306"/>
      <c r="M54" s="131"/>
    </row>
    <row r="55" spans="1:13" ht="18" customHeight="1" x14ac:dyDescent="0.4">
      <c r="A55" s="1" t="s">
        <v>440</v>
      </c>
      <c r="B55" s="655" t="s">
        <v>525</v>
      </c>
      <c r="C55" s="653"/>
      <c r="D55" s="654"/>
      <c r="F55" s="306"/>
      <c r="G55" s="306"/>
      <c r="H55" s="306"/>
      <c r="I55" s="306"/>
      <c r="J55" s="306"/>
      <c r="K55" s="306"/>
    </row>
    <row r="56" spans="1:13" ht="18" customHeight="1" x14ac:dyDescent="0.4">
      <c r="A56" s="1" t="s">
        <v>95</v>
      </c>
      <c r="B56" s="406" t="s">
        <v>526</v>
      </c>
      <c r="C56" s="407"/>
      <c r="D56" s="402"/>
      <c r="F56" s="306"/>
      <c r="G56" s="306"/>
      <c r="H56" s="307"/>
      <c r="I56" s="115"/>
      <c r="J56" s="307"/>
      <c r="K56" s="308"/>
    </row>
    <row r="57" spans="1:13" ht="18" customHeight="1" x14ac:dyDescent="0.4">
      <c r="A57" s="1" t="s">
        <v>96</v>
      </c>
      <c r="B57" s="400" t="s">
        <v>313</v>
      </c>
      <c r="C57" s="401"/>
      <c r="D57" s="402"/>
      <c r="F57" s="306"/>
      <c r="G57" s="306"/>
      <c r="H57" s="307"/>
      <c r="I57" s="115"/>
      <c r="J57" s="307"/>
      <c r="K57" s="308"/>
    </row>
    <row r="58" spans="1:13" ht="18" customHeight="1" x14ac:dyDescent="0.4">
      <c r="A58" s="1" t="s">
        <v>97</v>
      </c>
      <c r="B58" s="400"/>
      <c r="C58" s="401"/>
      <c r="D58" s="402"/>
      <c r="F58" s="306"/>
      <c r="G58" s="306"/>
      <c r="H58" s="307"/>
      <c r="I58" s="115"/>
      <c r="J58" s="307"/>
      <c r="K58" s="308"/>
    </row>
    <row r="59" spans="1:13" ht="18" customHeight="1" x14ac:dyDescent="0.4">
      <c r="A59" s="1" t="s">
        <v>98</v>
      </c>
      <c r="B59" s="400"/>
      <c r="C59" s="401"/>
      <c r="D59" s="402"/>
      <c r="F59" s="306"/>
      <c r="G59" s="306"/>
      <c r="H59" s="307"/>
      <c r="I59" s="115"/>
      <c r="J59" s="307"/>
      <c r="K59" s="308"/>
    </row>
    <row r="60" spans="1:13" ht="18" customHeight="1" x14ac:dyDescent="0.4">
      <c r="A60" s="1" t="s">
        <v>99</v>
      </c>
      <c r="B60" s="400" t="s">
        <v>399</v>
      </c>
      <c r="C60" s="401"/>
      <c r="D60" s="402"/>
      <c r="F60" s="306"/>
      <c r="G60" s="306"/>
      <c r="H60" s="307"/>
      <c r="I60" s="115"/>
      <c r="J60" s="307"/>
      <c r="K60" s="308"/>
    </row>
    <row r="61" spans="1:13" ht="18" customHeight="1" x14ac:dyDescent="0.4">
      <c r="A61" s="1" t="s">
        <v>100</v>
      </c>
      <c r="B61" s="400"/>
      <c r="C61" s="401"/>
      <c r="D61" s="402"/>
      <c r="F61" s="306"/>
      <c r="G61" s="306"/>
      <c r="H61" s="307"/>
      <c r="I61" s="115"/>
      <c r="J61" s="307"/>
      <c r="K61" s="308"/>
    </row>
    <row r="62" spans="1:13" ht="18" customHeight="1" x14ac:dyDescent="0.4">
      <c r="A62" s="1" t="s">
        <v>101</v>
      </c>
      <c r="B62" s="400"/>
      <c r="C62" s="401"/>
      <c r="D62" s="402"/>
      <c r="F62" s="306"/>
      <c r="G62" s="306"/>
      <c r="H62" s="307"/>
      <c r="I62" s="115"/>
      <c r="J62" s="307"/>
      <c r="K62" s="308"/>
    </row>
    <row r="63" spans="1:13" ht="18" customHeight="1" x14ac:dyDescent="0.4">
      <c r="A63" s="1"/>
      <c r="I63" s="403"/>
    </row>
    <row r="64" spans="1:13" ht="18" customHeight="1" x14ac:dyDescent="0.4">
      <c r="A64" s="1" t="s">
        <v>144</v>
      </c>
      <c r="B64" s="95" t="s">
        <v>145</v>
      </c>
      <c r="E64" s="95" t="s">
        <v>7</v>
      </c>
      <c r="F64" s="310">
        <v>0</v>
      </c>
      <c r="G64" s="310">
        <v>0</v>
      </c>
      <c r="H64" s="351">
        <v>6612267</v>
      </c>
      <c r="I64" s="351">
        <v>0</v>
      </c>
      <c r="J64" s="351">
        <v>3589799</v>
      </c>
      <c r="K64" s="351">
        <v>3022468</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238</v>
      </c>
      <c r="B68" s="400" t="s">
        <v>52</v>
      </c>
      <c r="C68" s="401"/>
      <c r="D68" s="402"/>
      <c r="F68" s="313"/>
      <c r="G68" s="368"/>
      <c r="H68" s="349"/>
      <c r="I68" s="349"/>
      <c r="J68" s="349"/>
      <c r="K68" s="349"/>
    </row>
    <row r="69" spans="1:11" ht="18" customHeight="1" x14ac:dyDescent="0.4">
      <c r="A69" s="1" t="s">
        <v>300</v>
      </c>
      <c r="B69" s="400" t="s">
        <v>438</v>
      </c>
      <c r="C69" s="401"/>
      <c r="D69" s="402"/>
      <c r="F69" s="313"/>
      <c r="G69" s="368"/>
      <c r="H69" s="349"/>
      <c r="I69" s="349"/>
      <c r="J69" s="349"/>
      <c r="K69" s="349"/>
    </row>
    <row r="70" spans="1:11" ht="18" customHeight="1" x14ac:dyDescent="0.4">
      <c r="A70" s="1" t="s">
        <v>178</v>
      </c>
      <c r="B70" s="400"/>
      <c r="C70" s="401"/>
      <c r="D70" s="402"/>
      <c r="E70" s="95"/>
      <c r="F70" s="104"/>
      <c r="G70" s="104"/>
      <c r="H70" s="115"/>
      <c r="I70" s="115"/>
      <c r="J70" s="115"/>
      <c r="K70" s="308"/>
    </row>
    <row r="71" spans="1:11" ht="18" customHeight="1" x14ac:dyDescent="0.4">
      <c r="A71" s="1" t="s">
        <v>179</v>
      </c>
      <c r="B71" s="400"/>
      <c r="C71" s="401"/>
      <c r="D71" s="402"/>
      <c r="E71" s="95"/>
      <c r="F71" s="104"/>
      <c r="G71" s="104"/>
      <c r="H71" s="105"/>
      <c r="I71" s="115"/>
      <c r="J71" s="105"/>
      <c r="K71" s="308"/>
    </row>
    <row r="72" spans="1:11" ht="18" customHeight="1" x14ac:dyDescent="0.4">
      <c r="A72" s="1" t="s">
        <v>180</v>
      </c>
      <c r="B72" s="406"/>
      <c r="C72" s="407"/>
      <c r="D72" s="408"/>
      <c r="E72" s="95"/>
      <c r="F72" s="306"/>
      <c r="G72" s="306"/>
      <c r="H72" s="307"/>
      <c r="I72" s="115"/>
      <c r="J72" s="307"/>
      <c r="K72" s="308"/>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v>0</v>
      </c>
      <c r="G74" s="411">
        <v>0</v>
      </c>
      <c r="H74" s="115">
        <v>0</v>
      </c>
      <c r="I74" s="115">
        <v>0</v>
      </c>
      <c r="J74" s="115">
        <v>0</v>
      </c>
      <c r="K74" s="308">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0</v>
      </c>
      <c r="G77" s="306">
        <v>0</v>
      </c>
      <c r="H77" s="306">
        <v>30140</v>
      </c>
      <c r="I77" s="306">
        <v>0</v>
      </c>
      <c r="J77" s="306">
        <v>0</v>
      </c>
      <c r="K77" s="306">
        <v>30140</v>
      </c>
    </row>
    <row r="78" spans="1:11" ht="18" customHeight="1" x14ac:dyDescent="0.4">
      <c r="A78" s="1" t="s">
        <v>108</v>
      </c>
      <c r="B78" s="94" t="s">
        <v>55</v>
      </c>
      <c r="F78" s="306"/>
      <c r="G78" s="306"/>
      <c r="H78" s="306"/>
      <c r="I78" s="306"/>
      <c r="J78" s="306"/>
      <c r="K78" s="306"/>
    </row>
    <row r="79" spans="1:11" ht="18" customHeight="1" x14ac:dyDescent="0.4">
      <c r="A79" s="1" t="s">
        <v>109</v>
      </c>
      <c r="B79" s="94" t="s">
        <v>13</v>
      </c>
      <c r="F79" s="306">
        <v>30</v>
      </c>
      <c r="G79" s="306">
        <v>0</v>
      </c>
      <c r="H79" s="306">
        <v>2777</v>
      </c>
      <c r="I79" s="306">
        <v>0</v>
      </c>
      <c r="J79" s="306">
        <v>0</v>
      </c>
      <c r="K79" s="306">
        <v>2777</v>
      </c>
    </row>
    <row r="80" spans="1:11" ht="18" customHeight="1" x14ac:dyDescent="0.4">
      <c r="A80" s="1" t="s">
        <v>110</v>
      </c>
      <c r="B80" s="94" t="s">
        <v>56</v>
      </c>
      <c r="F80" s="306"/>
      <c r="G80" s="306"/>
      <c r="H80" s="307"/>
      <c r="I80" s="115"/>
      <c r="J80" s="307"/>
      <c r="K80" s="308"/>
    </row>
    <row r="81" spans="1:11" ht="18" customHeight="1" x14ac:dyDescent="0.4">
      <c r="A81" s="1"/>
      <c r="K81" s="315"/>
    </row>
    <row r="82" spans="1:11" ht="18" customHeight="1" x14ac:dyDescent="0.4">
      <c r="A82" s="1" t="s">
        <v>148</v>
      </c>
      <c r="B82" s="95" t="s">
        <v>149</v>
      </c>
      <c r="E82" s="95" t="s">
        <v>7</v>
      </c>
      <c r="F82" s="411">
        <v>30</v>
      </c>
      <c r="G82" s="411">
        <v>0</v>
      </c>
      <c r="H82" s="351">
        <v>32917</v>
      </c>
      <c r="I82" s="351">
        <v>0</v>
      </c>
      <c r="J82" s="351">
        <v>0</v>
      </c>
      <c r="K82" s="351">
        <v>32917</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06">
        <v>27900</v>
      </c>
      <c r="I86" s="306">
        <v>0</v>
      </c>
      <c r="J86" s="306">
        <v>0</v>
      </c>
      <c r="K86" s="306">
        <v>27900</v>
      </c>
    </row>
    <row r="87" spans="1:11" ht="18" customHeight="1" x14ac:dyDescent="0.4">
      <c r="A87" s="1" t="s">
        <v>114</v>
      </c>
      <c r="B87" s="94" t="s">
        <v>14</v>
      </c>
      <c r="F87" s="306"/>
      <c r="G87" s="306"/>
      <c r="H87" s="307"/>
      <c r="I87" s="115"/>
      <c r="J87" s="307"/>
      <c r="K87" s="308"/>
    </row>
    <row r="88" spans="1:11" ht="18" customHeight="1" x14ac:dyDescent="0.4">
      <c r="A88" s="1" t="s">
        <v>115</v>
      </c>
      <c r="B88" s="94" t="s">
        <v>116</v>
      </c>
      <c r="F88" s="306">
        <v>31565.5</v>
      </c>
      <c r="G88" s="306">
        <v>0</v>
      </c>
      <c r="H88" s="306">
        <v>924302</v>
      </c>
      <c r="I88" s="306">
        <v>7630</v>
      </c>
      <c r="J88" s="306">
        <v>531336</v>
      </c>
      <c r="K88" s="306">
        <v>400596</v>
      </c>
    </row>
    <row r="89" spans="1:11" ht="18" customHeight="1" x14ac:dyDescent="0.4">
      <c r="A89" s="1" t="s">
        <v>117</v>
      </c>
      <c r="B89" s="94" t="s">
        <v>58</v>
      </c>
      <c r="F89" s="306"/>
      <c r="G89" s="306"/>
      <c r="H89" s="307"/>
      <c r="I89" s="115"/>
      <c r="J89" s="307"/>
      <c r="K89" s="308"/>
    </row>
    <row r="90" spans="1:11" ht="18" customHeight="1" x14ac:dyDescent="0.4">
      <c r="A90" s="1" t="s">
        <v>118</v>
      </c>
      <c r="B90" s="635" t="s">
        <v>59</v>
      </c>
      <c r="C90" s="636"/>
      <c r="F90" s="306"/>
      <c r="G90" s="306"/>
      <c r="H90" s="307"/>
      <c r="I90" s="115"/>
      <c r="J90" s="307"/>
      <c r="K90" s="308"/>
    </row>
    <row r="91" spans="1:11" ht="18" customHeight="1" x14ac:dyDescent="0.4">
      <c r="A91" s="1" t="s">
        <v>119</v>
      </c>
      <c r="B91" s="94" t="s">
        <v>60</v>
      </c>
      <c r="F91" s="306"/>
      <c r="G91" s="306"/>
      <c r="H91" s="307"/>
      <c r="I91" s="115"/>
      <c r="J91" s="307"/>
      <c r="K91" s="308"/>
    </row>
    <row r="92" spans="1:11" ht="18" customHeight="1" x14ac:dyDescent="0.4">
      <c r="A92" s="1" t="s">
        <v>120</v>
      </c>
      <c r="B92" s="94" t="s">
        <v>121</v>
      </c>
      <c r="F92" s="306">
        <v>0</v>
      </c>
      <c r="G92" s="306">
        <v>0</v>
      </c>
      <c r="H92" s="306">
        <v>26386</v>
      </c>
      <c r="I92" s="306">
        <v>0</v>
      </c>
      <c r="J92" s="306">
        <v>0</v>
      </c>
      <c r="K92" s="306">
        <v>26386</v>
      </c>
    </row>
    <row r="93" spans="1:11" ht="18" customHeight="1" x14ac:dyDescent="0.4">
      <c r="A93" s="1" t="s">
        <v>122</v>
      </c>
      <c r="B93" s="94" t="s">
        <v>123</v>
      </c>
      <c r="F93" s="306">
        <v>530.5</v>
      </c>
      <c r="G93" s="306">
        <v>2</v>
      </c>
      <c r="H93" s="306">
        <v>26266</v>
      </c>
      <c r="I93" s="306">
        <v>18296</v>
      </c>
      <c r="J93" s="306">
        <v>0</v>
      </c>
      <c r="K93" s="306">
        <v>44562</v>
      </c>
    </row>
    <row r="94" spans="1:11" ht="18" customHeight="1" x14ac:dyDescent="0.4">
      <c r="A94" s="1" t="s">
        <v>124</v>
      </c>
      <c r="B94" s="655"/>
      <c r="C94" s="653"/>
      <c r="D94" s="654"/>
      <c r="F94" s="306"/>
      <c r="G94" s="306"/>
      <c r="H94" s="307"/>
      <c r="I94" s="115"/>
      <c r="J94" s="307"/>
      <c r="K94" s="308"/>
    </row>
    <row r="95" spans="1:11" ht="18" customHeight="1" x14ac:dyDescent="0.4">
      <c r="A95" s="1" t="s">
        <v>125</v>
      </c>
      <c r="B95" s="655"/>
      <c r="C95" s="653"/>
      <c r="D95" s="654"/>
      <c r="F95" s="306"/>
      <c r="G95" s="306"/>
      <c r="H95" s="307"/>
      <c r="I95" s="115"/>
      <c r="J95" s="307"/>
      <c r="K95" s="308"/>
    </row>
    <row r="96" spans="1:11" ht="18" customHeight="1" x14ac:dyDescent="0.4">
      <c r="A96" s="1" t="s">
        <v>126</v>
      </c>
      <c r="B96" s="655"/>
      <c r="C96" s="653"/>
      <c r="D96" s="654"/>
      <c r="F96" s="306"/>
      <c r="G96" s="306"/>
      <c r="H96" s="307"/>
      <c r="I96" s="115"/>
      <c r="J96" s="307"/>
      <c r="K96" s="308"/>
    </row>
    <row r="97" spans="1:16" ht="18" customHeight="1" x14ac:dyDescent="0.4">
      <c r="A97" s="1"/>
      <c r="B97" s="94"/>
    </row>
    <row r="98" spans="1:16" ht="18" customHeight="1" x14ac:dyDescent="0.4">
      <c r="A98" s="98" t="s">
        <v>150</v>
      </c>
      <c r="B98" s="95" t="s">
        <v>151</v>
      </c>
      <c r="E98" s="95" t="s">
        <v>7</v>
      </c>
      <c r="F98" s="310">
        <v>32096</v>
      </c>
      <c r="G98" s="310">
        <v>2</v>
      </c>
      <c r="H98" s="310">
        <v>1004854</v>
      </c>
      <c r="I98" s="310">
        <v>25926</v>
      </c>
      <c r="J98" s="310">
        <v>531336</v>
      </c>
      <c r="K98" s="310">
        <v>499444</v>
      </c>
    </row>
    <row r="99" spans="1:16" ht="18" customHeight="1" thickBot="1" x14ac:dyDescent="0.45">
      <c r="B99" s="95"/>
      <c r="F99" s="103"/>
      <c r="G99" s="103"/>
      <c r="H99" s="103"/>
      <c r="I99" s="103"/>
      <c r="J99" s="103"/>
      <c r="K99" s="103"/>
    </row>
    <row r="100" spans="1:16" ht="42.75" customHeight="1" x14ac:dyDescent="0.4">
      <c r="F100" s="99" t="s">
        <v>9</v>
      </c>
      <c r="G100" s="99" t="s">
        <v>37</v>
      </c>
      <c r="H100" s="99" t="s">
        <v>29</v>
      </c>
      <c r="I100" s="99" t="s">
        <v>30</v>
      </c>
      <c r="J100" s="99" t="s">
        <v>33</v>
      </c>
      <c r="K100" s="99" t="s">
        <v>34</v>
      </c>
    </row>
    <row r="101" spans="1:16" ht="18" customHeight="1" x14ac:dyDescent="0.4">
      <c r="A101" s="98" t="s">
        <v>130</v>
      </c>
      <c r="B101" s="95" t="s">
        <v>63</v>
      </c>
    </row>
    <row r="102" spans="1:16" ht="18" customHeight="1" x14ac:dyDescent="0.4">
      <c r="A102" s="1" t="s">
        <v>131</v>
      </c>
      <c r="B102" s="94" t="s">
        <v>152</v>
      </c>
      <c r="F102" s="306">
        <v>1148</v>
      </c>
      <c r="G102" s="306">
        <v>0</v>
      </c>
      <c r="H102" s="306">
        <v>106157</v>
      </c>
      <c r="I102" s="306">
        <v>52392</v>
      </c>
      <c r="J102" s="306">
        <v>0</v>
      </c>
      <c r="K102" s="306">
        <v>158549</v>
      </c>
    </row>
    <row r="103" spans="1:16" ht="18" customHeight="1" x14ac:dyDescent="0.4">
      <c r="A103" s="1" t="s">
        <v>132</v>
      </c>
      <c r="B103" s="635" t="s">
        <v>62</v>
      </c>
      <c r="C103" s="635"/>
      <c r="F103" s="306"/>
      <c r="G103" s="306"/>
      <c r="H103" s="307"/>
      <c r="I103" s="115"/>
      <c r="J103" s="307"/>
      <c r="K103" s="308"/>
    </row>
    <row r="104" spans="1:16" ht="18" customHeight="1" x14ac:dyDescent="0.4">
      <c r="A104" s="1" t="s">
        <v>128</v>
      </c>
      <c r="B104" s="655" t="s">
        <v>298</v>
      </c>
      <c r="C104" s="653"/>
      <c r="D104" s="654"/>
      <c r="F104" s="306">
        <v>0</v>
      </c>
      <c r="G104" s="306">
        <v>0</v>
      </c>
      <c r="H104" s="306">
        <v>112593</v>
      </c>
      <c r="I104" s="306">
        <v>0</v>
      </c>
      <c r="J104" s="306">
        <v>0</v>
      </c>
      <c r="K104" s="306">
        <v>112593</v>
      </c>
    </row>
    <row r="105" spans="1:16" ht="18" customHeight="1" x14ac:dyDescent="0.4">
      <c r="A105" s="1" t="s">
        <v>127</v>
      </c>
      <c r="B105" s="655"/>
      <c r="C105" s="653"/>
      <c r="D105" s="654"/>
      <c r="F105" s="306"/>
      <c r="G105" s="306"/>
      <c r="H105" s="307"/>
      <c r="I105" s="115"/>
      <c r="J105" s="307"/>
      <c r="K105" s="308"/>
    </row>
    <row r="106" spans="1:16" ht="18" customHeight="1" x14ac:dyDescent="0.4">
      <c r="A106" s="1" t="s">
        <v>129</v>
      </c>
      <c r="B106" s="655"/>
      <c r="C106" s="653"/>
      <c r="D106" s="654"/>
      <c r="F106" s="306"/>
      <c r="G106" s="306"/>
      <c r="H106" s="307"/>
      <c r="I106" s="115"/>
      <c r="J106" s="307"/>
      <c r="K106" s="308"/>
    </row>
    <row r="107" spans="1:16" ht="18" customHeight="1" x14ac:dyDescent="0.4">
      <c r="B107" s="95"/>
    </row>
    <row r="108" spans="1:16" ht="18" customHeight="1" x14ac:dyDescent="0.4">
      <c r="A108" s="98" t="s">
        <v>153</v>
      </c>
      <c r="B108" s="95" t="s">
        <v>154</v>
      </c>
      <c r="E108" s="95" t="s">
        <v>7</v>
      </c>
      <c r="F108" s="310">
        <v>1148</v>
      </c>
      <c r="G108" s="310">
        <v>0</v>
      </c>
      <c r="H108" s="351">
        <v>218750</v>
      </c>
      <c r="I108" s="351">
        <v>52392</v>
      </c>
      <c r="J108" s="351">
        <v>0</v>
      </c>
      <c r="K108" s="351">
        <v>271142</v>
      </c>
      <c r="N108" s="220"/>
      <c r="O108" s="220"/>
    </row>
    <row r="109" spans="1:16" ht="18" customHeight="1" thickBot="1" x14ac:dyDescent="0.45">
      <c r="A109" s="100"/>
      <c r="B109" s="101"/>
      <c r="C109" s="102"/>
      <c r="D109" s="102"/>
      <c r="E109" s="102"/>
      <c r="F109" s="103"/>
      <c r="G109" s="103"/>
      <c r="H109" s="103"/>
      <c r="I109" s="103"/>
      <c r="J109" s="103"/>
      <c r="K109" s="103"/>
      <c r="N109" s="220"/>
      <c r="O109" s="220"/>
    </row>
    <row r="110" spans="1:16" ht="18" customHeight="1" x14ac:dyDescent="0.4">
      <c r="A110" s="98" t="s">
        <v>156</v>
      </c>
      <c r="B110" s="95" t="s">
        <v>39</v>
      </c>
      <c r="N110" s="221"/>
      <c r="O110" s="221"/>
    </row>
    <row r="111" spans="1:16" ht="12.3" x14ac:dyDescent="0.4">
      <c r="A111" s="98" t="s">
        <v>155</v>
      </c>
      <c r="B111" s="95" t="s">
        <v>164</v>
      </c>
      <c r="E111" s="95" t="s">
        <v>7</v>
      </c>
      <c r="F111" s="319">
        <v>7178703</v>
      </c>
      <c r="N111" s="512"/>
      <c r="O111" s="513"/>
      <c r="P111" s="513"/>
    </row>
    <row r="112" spans="1:16" ht="12.3" x14ac:dyDescent="0.4">
      <c r="B112" s="95"/>
      <c r="E112" s="95"/>
      <c r="N112" s="512"/>
      <c r="O112" s="513"/>
      <c r="P112" s="513"/>
    </row>
    <row r="113" spans="1:16" ht="12.3" x14ac:dyDescent="0.4">
      <c r="A113" s="98"/>
      <c r="B113" s="95" t="s">
        <v>15</v>
      </c>
      <c r="N113" s="512"/>
      <c r="O113" s="513"/>
      <c r="P113" s="513"/>
    </row>
    <row r="114" spans="1:16" ht="12.3" x14ac:dyDescent="0.4">
      <c r="A114" s="1" t="s">
        <v>171</v>
      </c>
      <c r="B114" s="94" t="s">
        <v>35</v>
      </c>
      <c r="F114" s="350">
        <v>0.80679999999999996</v>
      </c>
      <c r="N114" s="512"/>
      <c r="O114" s="513"/>
      <c r="P114" s="513"/>
    </row>
    <row r="115" spans="1:16" ht="12.3" x14ac:dyDescent="0.4">
      <c r="A115" s="1"/>
      <c r="B115" s="95"/>
      <c r="N115" s="512"/>
      <c r="O115" s="513"/>
      <c r="P115" s="513"/>
    </row>
    <row r="116" spans="1:16" ht="12.3" x14ac:dyDescent="0.4">
      <c r="A116" s="1" t="s">
        <v>170</v>
      </c>
      <c r="B116" s="95" t="s">
        <v>16</v>
      </c>
      <c r="N116" s="512"/>
      <c r="O116" s="513"/>
      <c r="P116" s="513"/>
    </row>
    <row r="117" spans="1:16" ht="14.4" x14ac:dyDescent="0.55000000000000004">
      <c r="A117" s="1" t="s">
        <v>172</v>
      </c>
      <c r="B117" s="94" t="s">
        <v>17</v>
      </c>
      <c r="F117" s="319">
        <v>244711953.11000001</v>
      </c>
      <c r="N117" s="512"/>
      <c r="O117" s="510"/>
      <c r="P117" s="513"/>
    </row>
    <row r="118" spans="1:16" ht="12.3" x14ac:dyDescent="0.4">
      <c r="A118" s="1" t="s">
        <v>173</v>
      </c>
      <c r="B118" t="s">
        <v>18</v>
      </c>
      <c r="F118" s="319">
        <v>19632381.690000001</v>
      </c>
      <c r="N118" s="512"/>
      <c r="O118" s="513"/>
      <c r="P118" s="513"/>
    </row>
    <row r="119" spans="1:16" ht="12.3" x14ac:dyDescent="0.4">
      <c r="A119" s="1" t="s">
        <v>174</v>
      </c>
      <c r="B119" s="95" t="s">
        <v>19</v>
      </c>
      <c r="F119" s="351">
        <v>264344334.80000001</v>
      </c>
      <c r="N119" s="512"/>
      <c r="O119" s="513"/>
      <c r="P119" s="513"/>
    </row>
    <row r="120" spans="1:16" ht="12.3" x14ac:dyDescent="0.4">
      <c r="A120" s="1"/>
      <c r="B120" s="95"/>
      <c r="F120" s="87"/>
      <c r="N120" s="218"/>
      <c r="O120" s="218"/>
    </row>
    <row r="121" spans="1:16" ht="12.3" x14ac:dyDescent="0.4">
      <c r="A121" s="1" t="s">
        <v>167</v>
      </c>
      <c r="B121" s="95" t="s">
        <v>36</v>
      </c>
      <c r="F121" s="319">
        <v>263976142.28</v>
      </c>
    </row>
    <row r="122" spans="1:16" ht="12.3" x14ac:dyDescent="0.4">
      <c r="A122" s="1"/>
      <c r="F122" s="87"/>
    </row>
    <row r="123" spans="1:16" ht="12.3" x14ac:dyDescent="0.4">
      <c r="A123" s="1" t="s">
        <v>175</v>
      </c>
      <c r="B123" s="95" t="s">
        <v>20</v>
      </c>
      <c r="F123" s="319">
        <v>368192.52000001073</v>
      </c>
    </row>
    <row r="124" spans="1:16" ht="12.3" x14ac:dyDescent="0.4">
      <c r="A124" s="1"/>
      <c r="F124" s="87"/>
    </row>
    <row r="125" spans="1:16" ht="12.3" x14ac:dyDescent="0.4">
      <c r="A125" s="1" t="s">
        <v>176</v>
      </c>
      <c r="B125" s="95" t="s">
        <v>21</v>
      </c>
      <c r="F125" s="319">
        <v>704887.87999999942</v>
      </c>
    </row>
    <row r="126" spans="1:16" ht="12.3" x14ac:dyDescent="0.4">
      <c r="A126" s="1"/>
      <c r="F126" s="87"/>
    </row>
    <row r="127" spans="1:16" ht="12.3" x14ac:dyDescent="0.4">
      <c r="A127" s="1" t="s">
        <v>177</v>
      </c>
      <c r="B127" s="95" t="s">
        <v>22</v>
      </c>
      <c r="F127" s="319">
        <v>1073080.4000000102</v>
      </c>
    </row>
    <row r="128" spans="1:16" ht="12.3" x14ac:dyDescent="0.4">
      <c r="A128" s="1"/>
    </row>
    <row r="129" spans="1:11" ht="24.6" x14ac:dyDescent="0.4">
      <c r="F129" s="99" t="s">
        <v>9</v>
      </c>
      <c r="G129" s="99" t="s">
        <v>37</v>
      </c>
      <c r="H129" s="99" t="s">
        <v>29</v>
      </c>
      <c r="I129" s="99" t="s">
        <v>30</v>
      </c>
      <c r="J129" s="99" t="s">
        <v>33</v>
      </c>
      <c r="K129" s="99" t="s">
        <v>34</v>
      </c>
    </row>
    <row r="130" spans="1:11" ht="12.3" x14ac:dyDescent="0.4">
      <c r="A130" s="98" t="s">
        <v>157</v>
      </c>
      <c r="B130" s="95" t="s">
        <v>23</v>
      </c>
    </row>
    <row r="131" spans="1:11" ht="12.3" x14ac:dyDescent="0.4">
      <c r="A131" s="1" t="s">
        <v>158</v>
      </c>
      <c r="B131" t="s">
        <v>24</v>
      </c>
      <c r="F131" s="306">
        <v>0</v>
      </c>
      <c r="G131" s="306">
        <v>0</v>
      </c>
      <c r="H131" s="307">
        <v>0</v>
      </c>
      <c r="I131" s="115">
        <v>0</v>
      </c>
      <c r="J131" s="307">
        <v>0</v>
      </c>
      <c r="K131" s="308">
        <v>0</v>
      </c>
    </row>
    <row r="132" spans="1:11" ht="12.3" x14ac:dyDescent="0.4">
      <c r="A132" s="1" t="s">
        <v>159</v>
      </c>
      <c r="B132" t="s">
        <v>25</v>
      </c>
      <c r="F132" s="306">
        <v>0</v>
      </c>
      <c r="G132" s="306">
        <v>0</v>
      </c>
      <c r="H132" s="307">
        <v>0</v>
      </c>
      <c r="I132" s="115">
        <v>0</v>
      </c>
      <c r="J132" s="307">
        <v>0</v>
      </c>
      <c r="K132" s="308">
        <v>0</v>
      </c>
    </row>
    <row r="133" spans="1:11" ht="12.3" x14ac:dyDescent="0.4">
      <c r="A133" s="1" t="s">
        <v>160</v>
      </c>
      <c r="B133" s="630"/>
      <c r="C133" s="631"/>
      <c r="D133" s="632"/>
      <c r="F133" s="306"/>
      <c r="G133" s="306"/>
      <c r="H133" s="307"/>
      <c r="I133" s="115"/>
      <c r="J133" s="307"/>
      <c r="K133" s="308"/>
    </row>
    <row r="134" spans="1:11" ht="12.3" x14ac:dyDescent="0.4">
      <c r="A134" s="1" t="s">
        <v>161</v>
      </c>
      <c r="B134" s="630"/>
      <c r="C134" s="631"/>
      <c r="D134" s="632"/>
      <c r="F134" s="306"/>
      <c r="G134" s="306"/>
      <c r="H134" s="307"/>
      <c r="I134" s="115"/>
      <c r="J134" s="307"/>
      <c r="K134" s="308"/>
    </row>
    <row r="135" spans="1:11" ht="12.3" x14ac:dyDescent="0.4">
      <c r="A135" s="1" t="s">
        <v>162</v>
      </c>
      <c r="B135" s="630"/>
      <c r="C135" s="631"/>
      <c r="D135" s="632"/>
      <c r="F135" s="306"/>
      <c r="G135" s="306"/>
      <c r="H135" s="307"/>
      <c r="I135" s="115"/>
      <c r="J135" s="307"/>
      <c r="K135" s="308"/>
    </row>
    <row r="136" spans="1:11" ht="12.3" x14ac:dyDescent="0.4">
      <c r="A136" s="98"/>
    </row>
    <row r="137" spans="1:11" ht="12.3" x14ac:dyDescent="0.4">
      <c r="A137" s="98" t="s">
        <v>163</v>
      </c>
      <c r="B137" s="95" t="s">
        <v>27</v>
      </c>
      <c r="F137" s="310">
        <v>0</v>
      </c>
      <c r="G137" s="310">
        <v>0</v>
      </c>
      <c r="H137" s="308">
        <v>0</v>
      </c>
      <c r="I137" s="308">
        <v>0</v>
      </c>
      <c r="J137" s="308">
        <v>0</v>
      </c>
      <c r="K137" s="308">
        <v>0</v>
      </c>
    </row>
    <row r="138" spans="1:11" ht="12.3" x14ac:dyDescent="0.4">
      <c r="A138"/>
    </row>
    <row r="139" spans="1:11" ht="24.6" x14ac:dyDescent="0.4">
      <c r="F139" s="99" t="s">
        <v>9</v>
      </c>
      <c r="G139" s="99" t="s">
        <v>37</v>
      </c>
      <c r="H139" s="99" t="s">
        <v>29</v>
      </c>
      <c r="I139" s="99" t="s">
        <v>30</v>
      </c>
      <c r="J139" s="99" t="s">
        <v>33</v>
      </c>
      <c r="K139" s="99" t="s">
        <v>34</v>
      </c>
    </row>
    <row r="140" spans="1:11" ht="12.3" x14ac:dyDescent="0.4">
      <c r="A140" s="98" t="s">
        <v>166</v>
      </c>
      <c r="B140" s="95" t="s">
        <v>26</v>
      </c>
    </row>
    <row r="141" spans="1:11" ht="12.3" x14ac:dyDescent="0.4">
      <c r="A141" s="1" t="s">
        <v>137</v>
      </c>
      <c r="B141" s="95" t="s">
        <v>64</v>
      </c>
      <c r="F141" s="109">
        <v>17236.75</v>
      </c>
      <c r="G141" s="109">
        <v>66318</v>
      </c>
      <c r="H141" s="351">
        <v>1411201</v>
      </c>
      <c r="I141" s="351">
        <v>713536</v>
      </c>
      <c r="J141" s="351">
        <v>514948</v>
      </c>
      <c r="K141" s="351">
        <v>1609789</v>
      </c>
    </row>
    <row r="142" spans="1:11" ht="12.3" x14ac:dyDescent="0.4">
      <c r="A142" s="1" t="s">
        <v>142</v>
      </c>
      <c r="B142" s="95" t="s">
        <v>65</v>
      </c>
      <c r="F142" s="109">
        <v>81916</v>
      </c>
      <c r="G142" s="109">
        <v>0</v>
      </c>
      <c r="H142" s="351">
        <v>5495324</v>
      </c>
      <c r="I142" s="351">
        <v>4429966</v>
      </c>
      <c r="J142" s="351">
        <v>400</v>
      </c>
      <c r="K142" s="351">
        <v>9924890</v>
      </c>
    </row>
    <row r="143" spans="1:11" ht="12.3" x14ac:dyDescent="0.4">
      <c r="A143" s="1" t="s">
        <v>144</v>
      </c>
      <c r="B143" s="95" t="s">
        <v>66</v>
      </c>
      <c r="F143" s="109">
        <v>0</v>
      </c>
      <c r="G143" s="109">
        <v>0</v>
      </c>
      <c r="H143" s="351">
        <v>6612267</v>
      </c>
      <c r="I143" s="351">
        <v>0</v>
      </c>
      <c r="J143" s="351">
        <v>3589799</v>
      </c>
      <c r="K143" s="351">
        <v>3022468</v>
      </c>
    </row>
    <row r="144" spans="1:11" ht="12.3" x14ac:dyDescent="0.4">
      <c r="A144" s="1" t="s">
        <v>146</v>
      </c>
      <c r="B144" s="95" t="s">
        <v>67</v>
      </c>
      <c r="F144" s="109">
        <v>0</v>
      </c>
      <c r="G144" s="109">
        <v>0</v>
      </c>
      <c r="H144" s="351">
        <v>0</v>
      </c>
      <c r="I144" s="351">
        <v>0</v>
      </c>
      <c r="J144" s="351">
        <v>0</v>
      </c>
      <c r="K144" s="351">
        <v>0</v>
      </c>
    </row>
    <row r="145" spans="1:13" ht="12.3" x14ac:dyDescent="0.4">
      <c r="A145" s="1" t="s">
        <v>148</v>
      </c>
      <c r="B145" s="95" t="s">
        <v>68</v>
      </c>
      <c r="F145" s="109">
        <v>30</v>
      </c>
      <c r="G145" s="109">
        <v>0</v>
      </c>
      <c r="H145" s="351">
        <v>32917</v>
      </c>
      <c r="I145" s="351">
        <v>0</v>
      </c>
      <c r="J145" s="351">
        <v>0</v>
      </c>
      <c r="K145" s="351">
        <v>32917</v>
      </c>
    </row>
    <row r="146" spans="1:13" ht="12.3" x14ac:dyDescent="0.4">
      <c r="A146" s="1" t="s">
        <v>150</v>
      </c>
      <c r="B146" s="95" t="s">
        <v>69</v>
      </c>
      <c r="F146" s="109">
        <v>32096</v>
      </c>
      <c r="G146" s="109">
        <v>2</v>
      </c>
      <c r="H146" s="351">
        <v>1004854</v>
      </c>
      <c r="I146" s="351">
        <v>25926</v>
      </c>
      <c r="J146" s="351">
        <v>531336</v>
      </c>
      <c r="K146" s="351">
        <v>499444</v>
      </c>
    </row>
    <row r="147" spans="1:13" ht="12.3" x14ac:dyDescent="0.4">
      <c r="A147" s="1" t="s">
        <v>153</v>
      </c>
      <c r="B147" s="95" t="s">
        <v>61</v>
      </c>
      <c r="F147" s="310">
        <v>1148</v>
      </c>
      <c r="G147" s="310">
        <v>0</v>
      </c>
      <c r="H147" s="351">
        <v>218750</v>
      </c>
      <c r="I147" s="351">
        <v>52392</v>
      </c>
      <c r="J147" s="351">
        <v>0</v>
      </c>
      <c r="K147" s="351">
        <v>271142</v>
      </c>
    </row>
    <row r="148" spans="1:13" ht="12.3" x14ac:dyDescent="0.4">
      <c r="A148" s="1" t="s">
        <v>155</v>
      </c>
      <c r="B148" s="95" t="s">
        <v>70</v>
      </c>
      <c r="F148" s="110" t="s">
        <v>73</v>
      </c>
      <c r="G148" s="110" t="s">
        <v>73</v>
      </c>
      <c r="H148" s="351" t="s">
        <v>73</v>
      </c>
      <c r="I148" s="351" t="s">
        <v>73</v>
      </c>
      <c r="J148" s="351" t="s">
        <v>73</v>
      </c>
      <c r="K148" s="351">
        <v>7178703</v>
      </c>
    </row>
    <row r="149" spans="1:13" ht="12.3" x14ac:dyDescent="0.4">
      <c r="A149" s="1" t="s">
        <v>163</v>
      </c>
      <c r="B149" s="95" t="s">
        <v>71</v>
      </c>
      <c r="F149" s="310">
        <v>0</v>
      </c>
      <c r="G149" s="310">
        <v>0</v>
      </c>
      <c r="H149" s="351">
        <v>0</v>
      </c>
      <c r="I149" s="351">
        <v>0</v>
      </c>
      <c r="J149" s="351">
        <v>0</v>
      </c>
      <c r="K149" s="351">
        <v>0</v>
      </c>
    </row>
    <row r="150" spans="1:13" ht="18" customHeight="1" x14ac:dyDescent="0.4">
      <c r="A150" s="1" t="s">
        <v>185</v>
      </c>
      <c r="B150" s="95" t="s">
        <v>186</v>
      </c>
      <c r="F150" s="110" t="s">
        <v>73</v>
      </c>
      <c r="G150" s="110" t="s">
        <v>73</v>
      </c>
      <c r="H150" s="319">
        <v>4876356.24</v>
      </c>
      <c r="I150" s="229">
        <v>0</v>
      </c>
      <c r="J150" s="319">
        <v>4041378.51</v>
      </c>
      <c r="K150" s="351">
        <f>H150-J150</f>
        <v>834977.73000000045</v>
      </c>
    </row>
    <row r="151" spans="1:13" ht="18" customHeight="1" x14ac:dyDescent="0.4">
      <c r="B151" s="95"/>
      <c r="F151" s="113"/>
      <c r="G151" s="113"/>
      <c r="H151" s="222"/>
      <c r="I151" s="222"/>
      <c r="J151" s="222"/>
      <c r="K151" s="222"/>
    </row>
    <row r="152" spans="1:13" ht="18" customHeight="1" x14ac:dyDescent="0.4">
      <c r="A152" s="98" t="s">
        <v>165</v>
      </c>
      <c r="B152" s="95" t="s">
        <v>26</v>
      </c>
      <c r="F152" s="114">
        <v>132426.75</v>
      </c>
      <c r="G152" s="114">
        <v>66320</v>
      </c>
      <c r="H152" s="351">
        <f>SUM(H141:H150)</f>
        <v>19651669.240000002</v>
      </c>
      <c r="I152" s="351">
        <f t="shared" ref="I152:K152" si="0">SUM(I141:I150)</f>
        <v>5221820</v>
      </c>
      <c r="J152" s="351">
        <f t="shared" si="0"/>
        <v>8677861.5099999998</v>
      </c>
      <c r="K152" s="351">
        <f t="shared" si="0"/>
        <v>23374330.73</v>
      </c>
    </row>
    <row r="153" spans="1:13" ht="18" customHeight="1" x14ac:dyDescent="0.55000000000000004">
      <c r="K153" s="223"/>
      <c r="L153" s="224"/>
      <c r="M153" s="225"/>
    </row>
    <row r="154" spans="1:13" ht="18" customHeight="1" x14ac:dyDescent="0.55000000000000004">
      <c r="A154" s="98" t="s">
        <v>168</v>
      </c>
      <c r="B154" s="95" t="s">
        <v>28</v>
      </c>
      <c r="F154" s="318">
        <v>8.8626787350848987E-2</v>
      </c>
      <c r="J154" s="87"/>
      <c r="K154" s="223"/>
      <c r="L154" s="224"/>
      <c r="M154" s="225"/>
    </row>
    <row r="155" spans="1:13" ht="18" customHeight="1" x14ac:dyDescent="0.55000000000000004">
      <c r="A155" s="98" t="s">
        <v>169</v>
      </c>
      <c r="B155" s="95" t="s">
        <v>72</v>
      </c>
      <c r="F155" s="318">
        <v>21.802054559515572</v>
      </c>
      <c r="G155" s="95"/>
      <c r="K155" s="225"/>
      <c r="L155" s="224"/>
      <c r="M155" s="225"/>
    </row>
    <row r="156" spans="1:13" ht="18" customHeight="1" x14ac:dyDescent="0.4">
      <c r="G156" s="95"/>
    </row>
    <row r="158" spans="1:13" ht="18" customHeight="1" x14ac:dyDescent="0.55000000000000004">
      <c r="B158" s="225"/>
      <c r="C158" s="225"/>
      <c r="D158" s="225"/>
      <c r="E158" s="225"/>
      <c r="F158" s="226"/>
      <c r="G158" s="226"/>
      <c r="H158" s="223"/>
      <c r="I158" s="223"/>
      <c r="J158" s="223"/>
      <c r="K158" s="223"/>
    </row>
    <row r="159" spans="1:13" ht="18" customHeight="1" x14ac:dyDescent="0.55000000000000004">
      <c r="B159" s="225"/>
      <c r="C159" s="225"/>
      <c r="D159" s="225"/>
      <c r="E159" s="225"/>
      <c r="F159" s="226"/>
      <c r="G159" s="226"/>
      <c r="H159" s="226"/>
      <c r="I159" s="226"/>
      <c r="J159" s="226"/>
      <c r="K159" s="226"/>
    </row>
    <row r="161" spans="8:11" ht="18" customHeight="1" x14ac:dyDescent="0.4">
      <c r="H161" s="87"/>
    </row>
    <row r="162" spans="8:11" ht="18" customHeight="1" x14ac:dyDescent="0.4">
      <c r="K162" s="87"/>
    </row>
  </sheetData>
  <mergeCells count="30">
    <mergeCell ref="B47:D47"/>
    <mergeCell ref="B103:C103"/>
    <mergeCell ref="B96:D96"/>
    <mergeCell ref="B95:D95"/>
    <mergeCell ref="B94:D94"/>
    <mergeCell ref="B52:C52"/>
    <mergeCell ref="B90:C90"/>
    <mergeCell ref="B55:D55"/>
    <mergeCell ref="B54:D54"/>
    <mergeCell ref="B134:D134"/>
    <mergeCell ref="B135:D135"/>
    <mergeCell ref="B133:D133"/>
    <mergeCell ref="B104:D104"/>
    <mergeCell ref="B105:D105"/>
    <mergeCell ref="B106:D106"/>
    <mergeCell ref="B45:D45"/>
    <mergeCell ref="B46:D46"/>
    <mergeCell ref="B44:D44"/>
    <mergeCell ref="D2:H2"/>
    <mergeCell ref="B34:D34"/>
    <mergeCell ref="C11:G11"/>
    <mergeCell ref="B41:C41"/>
    <mergeCell ref="B13:H13"/>
    <mergeCell ref="C5:G5"/>
    <mergeCell ref="C6:G6"/>
    <mergeCell ref="C7:G7"/>
    <mergeCell ref="C9:G9"/>
    <mergeCell ref="C10:G10"/>
    <mergeCell ref="B30:D30"/>
    <mergeCell ref="B31:D31"/>
  </mergeCells>
  <hyperlinks>
    <hyperlink ref="C11" r:id="rId1" xr:uid="{60F9164A-74E3-4B5A-9BB9-D6DF0DC2D1B6}"/>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8"/>
  <dimension ref="A1:K156"/>
  <sheetViews>
    <sheetView showGridLines="0" zoomScale="80" zoomScaleNormal="80" zoomScaleSheetLayoutView="70" workbookViewId="0">
      <selection activeCell="K109" sqref="K109"/>
    </sheetView>
  </sheetViews>
  <sheetFormatPr defaultColWidth="8.71875" defaultRowHeight="18" customHeight="1" x14ac:dyDescent="0.4"/>
  <cols>
    <col min="1" max="1" width="8.27734375" style="93" customWidth="1"/>
    <col min="2" max="2" width="42.1640625" bestFit="1" customWidth="1"/>
    <col min="3" max="3" width="9.5546875" customWidth="1"/>
    <col min="5" max="5" width="12.44140625" customWidth="1"/>
    <col min="6" max="6" width="18.5546875" customWidth="1"/>
    <col min="7" max="7" width="18.5546875" bestFit="1" customWidth="1"/>
    <col min="8" max="8" width="15.71875" bestFit="1" customWidth="1"/>
    <col min="9" max="9" width="17.71875" bestFit="1" customWidth="1"/>
    <col min="10" max="10" width="12.71875" bestFit="1" customWidth="1"/>
    <col min="11" max="11" width="16.5546875" bestFit="1"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843</v>
      </c>
      <c r="D5" s="666"/>
      <c r="E5" s="666"/>
      <c r="F5" s="666"/>
      <c r="G5" s="667"/>
    </row>
    <row r="6" spans="1:11" ht="18" customHeight="1" x14ac:dyDescent="0.4">
      <c r="B6" s="1" t="s">
        <v>3</v>
      </c>
      <c r="C6" s="683">
        <v>210057</v>
      </c>
      <c r="D6" s="684"/>
      <c r="E6" s="684"/>
      <c r="F6" s="684"/>
      <c r="G6" s="685"/>
    </row>
    <row r="7" spans="1:11" ht="18" customHeight="1" x14ac:dyDescent="0.4">
      <c r="B7" s="1" t="s">
        <v>4</v>
      </c>
      <c r="C7" s="686">
        <v>2556</v>
      </c>
      <c r="D7" s="687"/>
      <c r="E7" s="687"/>
      <c r="F7" s="687"/>
      <c r="G7" s="688"/>
    </row>
    <row r="9" spans="1:11" ht="18" customHeight="1" x14ac:dyDescent="0.4">
      <c r="B9" s="1" t="s">
        <v>1</v>
      </c>
      <c r="C9" s="663" t="s">
        <v>500</v>
      </c>
      <c r="D9" s="666"/>
      <c r="E9" s="666"/>
      <c r="F9" s="666"/>
      <c r="G9" s="667"/>
    </row>
    <row r="10" spans="1:11" ht="18" customHeight="1" x14ac:dyDescent="0.4">
      <c r="B10" s="1" t="s">
        <v>2</v>
      </c>
      <c r="C10" s="660" t="s">
        <v>501</v>
      </c>
      <c r="D10" s="661"/>
      <c r="E10" s="661"/>
      <c r="F10" s="661"/>
      <c r="G10" s="662"/>
    </row>
    <row r="11" spans="1:11" ht="18" customHeight="1" x14ac:dyDescent="0.4">
      <c r="B11" s="1" t="s">
        <v>32</v>
      </c>
      <c r="C11" s="663" t="s">
        <v>502</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8680368.9299999997</v>
      </c>
      <c r="I18" s="115">
        <v>0</v>
      </c>
      <c r="J18" s="307">
        <v>7194030.7000000002</v>
      </c>
      <c r="K18" s="308">
        <f>(H18+I18)-J18</f>
        <v>1486338.2299999995</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11340.404076999999</v>
      </c>
      <c r="G21" s="306">
        <v>14337.578100000001</v>
      </c>
      <c r="H21" s="307">
        <v>216962.41093627</v>
      </c>
      <c r="I21" s="115">
        <f t="shared" ref="I21:I34" si="0">H21*F$114</f>
        <v>158003.35308164268</v>
      </c>
      <c r="J21" s="307">
        <v>2765.7838456500003</v>
      </c>
      <c r="K21" s="308">
        <f t="shared" ref="K21:K34" si="1">(H21+I21)-J21</f>
        <v>372199.9801722627</v>
      </c>
    </row>
    <row r="22" spans="1:11" ht="18" customHeight="1" x14ac:dyDescent="0.4">
      <c r="A22" s="1" t="s">
        <v>76</v>
      </c>
      <c r="B22" t="s">
        <v>6</v>
      </c>
      <c r="F22" s="306">
        <v>559.44268499999998</v>
      </c>
      <c r="G22" s="306"/>
      <c r="H22" s="307">
        <v>110931.27928394999</v>
      </c>
      <c r="I22" s="115">
        <f t="shared" si="0"/>
        <v>80785.948187351009</v>
      </c>
      <c r="J22" s="307">
        <v>25360.883999999998</v>
      </c>
      <c r="K22" s="308">
        <f t="shared" si="1"/>
        <v>166356.34347130099</v>
      </c>
    </row>
    <row r="23" spans="1:11" ht="18" customHeight="1" x14ac:dyDescent="0.4">
      <c r="A23" s="1" t="s">
        <v>77</v>
      </c>
      <c r="B23" t="s">
        <v>43</v>
      </c>
      <c r="F23" s="306">
        <v>111</v>
      </c>
      <c r="G23" s="306"/>
      <c r="H23" s="307">
        <v>17400</v>
      </c>
      <c r="I23" s="115">
        <f t="shared" si="0"/>
        <v>12671.58828</v>
      </c>
      <c r="J23" s="307"/>
      <c r="K23" s="308">
        <f t="shared" si="1"/>
        <v>30071.58828</v>
      </c>
    </row>
    <row r="24" spans="1:11" ht="18" customHeight="1" x14ac:dyDescent="0.4">
      <c r="A24" s="1" t="s">
        <v>78</v>
      </c>
      <c r="B24" t="s">
        <v>44</v>
      </c>
      <c r="F24" s="306">
        <v>571.79050000000007</v>
      </c>
      <c r="G24" s="306">
        <v>2304.5286999999998</v>
      </c>
      <c r="H24" s="307">
        <v>550039.22</v>
      </c>
      <c r="I24" s="115">
        <f t="shared" si="0"/>
        <v>400567.27205128397</v>
      </c>
      <c r="J24" s="307"/>
      <c r="K24" s="308">
        <f t="shared" si="1"/>
        <v>950606.49205128395</v>
      </c>
    </row>
    <row r="25" spans="1:11" ht="18" customHeight="1" x14ac:dyDescent="0.4">
      <c r="A25" s="1" t="s">
        <v>79</v>
      </c>
      <c r="B25" t="s">
        <v>5</v>
      </c>
      <c r="F25" s="306">
        <v>1668.09384</v>
      </c>
      <c r="G25" s="306"/>
      <c r="H25" s="307">
        <v>74686.279064399991</v>
      </c>
      <c r="I25" s="115">
        <f t="shared" si="0"/>
        <v>54390.447038463237</v>
      </c>
      <c r="J25" s="307"/>
      <c r="K25" s="308">
        <f t="shared" si="1"/>
        <v>129076.72610286323</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1423.983868</v>
      </c>
      <c r="G29" s="306">
        <v>290.10809999999998</v>
      </c>
      <c r="H29" s="307">
        <v>4636814.9072504509</v>
      </c>
      <c r="I29" s="115">
        <v>1441651.7331402332</v>
      </c>
      <c r="J29" s="307">
        <v>942298.5</v>
      </c>
      <c r="K29" s="308">
        <f t="shared" si="1"/>
        <v>5136168.1403906839</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15674.714969999999</v>
      </c>
      <c r="G36" s="310">
        <f t="shared" si="2"/>
        <v>16932.214900000003</v>
      </c>
      <c r="H36" s="310">
        <f t="shared" si="2"/>
        <v>5606834.0965350708</v>
      </c>
      <c r="I36" s="308">
        <f t="shared" si="2"/>
        <v>2148070.341778974</v>
      </c>
      <c r="J36" s="308">
        <f t="shared" si="2"/>
        <v>970425.16784564999</v>
      </c>
      <c r="K36" s="308">
        <f t="shared" si="2"/>
        <v>6784479.2704683952</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3520</v>
      </c>
      <c r="G40" s="306">
        <v>524</v>
      </c>
      <c r="H40" s="307">
        <v>380560</v>
      </c>
      <c r="I40" s="115">
        <v>0</v>
      </c>
      <c r="J40" s="307"/>
      <c r="K40" s="308">
        <f t="shared" ref="K40:K47" si="3">(H40+I40)-J40</f>
        <v>380560</v>
      </c>
    </row>
    <row r="41" spans="1:11" ht="18" customHeight="1" x14ac:dyDescent="0.4">
      <c r="A41" s="1" t="s">
        <v>88</v>
      </c>
      <c r="B41" s="635" t="s">
        <v>50</v>
      </c>
      <c r="C41" s="636"/>
      <c r="F41" s="306">
        <v>12911</v>
      </c>
      <c r="G41" s="306">
        <v>6302.9999999619858</v>
      </c>
      <c r="H41" s="307">
        <v>545572.31999999995</v>
      </c>
      <c r="I41" s="115">
        <v>0</v>
      </c>
      <c r="J41" s="307"/>
      <c r="K41" s="308">
        <f t="shared" si="3"/>
        <v>545572.31999999995</v>
      </c>
    </row>
    <row r="42" spans="1:11" ht="18" customHeight="1" x14ac:dyDescent="0.4">
      <c r="A42" s="1" t="s">
        <v>89</v>
      </c>
      <c r="B42" s="94" t="s">
        <v>11</v>
      </c>
      <c r="F42" s="306">
        <v>8729.6531570000006</v>
      </c>
      <c r="G42" s="306">
        <v>2898.17875</v>
      </c>
      <c r="H42" s="307">
        <v>428463.51700367767</v>
      </c>
      <c r="I42" s="115">
        <v>0</v>
      </c>
      <c r="J42" s="307"/>
      <c r="K42" s="308">
        <f t="shared" si="3"/>
        <v>428463.51700367767</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484">
        <f t="shared" ref="F49:K49" si="4">SUM(F40:F47)</f>
        <v>25160.653157000001</v>
      </c>
      <c r="G49" s="484">
        <f t="shared" si="4"/>
        <v>9725.1787499619859</v>
      </c>
      <c r="H49" s="308">
        <f t="shared" si="4"/>
        <v>1354595.8370036776</v>
      </c>
      <c r="I49" s="308">
        <f t="shared" si="4"/>
        <v>0</v>
      </c>
      <c r="J49" s="308">
        <f t="shared" si="4"/>
        <v>0</v>
      </c>
      <c r="K49" s="308">
        <f t="shared" si="4"/>
        <v>1354595.8370036776</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5" t="s">
        <v>187</v>
      </c>
      <c r="C53" s="653"/>
      <c r="D53" s="654"/>
      <c r="F53" s="306"/>
      <c r="G53" s="306"/>
      <c r="H53" s="307">
        <v>640295.41726954211</v>
      </c>
      <c r="I53" s="115">
        <v>0</v>
      </c>
      <c r="J53" s="307"/>
      <c r="K53" s="308">
        <f t="shared" ref="K53:K62" si="5">(H53+I53)-J53</f>
        <v>640295.41726954211</v>
      </c>
    </row>
    <row r="54" spans="1:11" ht="18" customHeight="1" x14ac:dyDescent="0.4">
      <c r="A54" s="1" t="s">
        <v>93</v>
      </c>
      <c r="B54" s="400" t="s">
        <v>188</v>
      </c>
      <c r="C54" s="401"/>
      <c r="D54" s="402"/>
      <c r="F54" s="306">
        <v>70692.45</v>
      </c>
      <c r="G54" s="306">
        <v>864</v>
      </c>
      <c r="H54" s="307">
        <v>10463007.060000001</v>
      </c>
      <c r="I54" s="115">
        <v>0</v>
      </c>
      <c r="J54" s="307">
        <v>428116.92</v>
      </c>
      <c r="K54" s="308">
        <f t="shared" si="5"/>
        <v>10034890.140000001</v>
      </c>
    </row>
    <row r="55" spans="1:11" ht="18" customHeight="1" x14ac:dyDescent="0.4">
      <c r="A55" s="1" t="s">
        <v>94</v>
      </c>
      <c r="B55" s="655" t="s">
        <v>618</v>
      </c>
      <c r="C55" s="653"/>
      <c r="D55" s="654"/>
      <c r="F55" s="306">
        <v>74880</v>
      </c>
      <c r="G55" s="306"/>
      <c r="H55" s="307">
        <v>1524343.54</v>
      </c>
      <c r="I55" s="115">
        <v>0</v>
      </c>
      <c r="J55" s="307"/>
      <c r="K55" s="308">
        <f t="shared" si="5"/>
        <v>1524343.54</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655" t="s">
        <v>189</v>
      </c>
      <c r="C57" s="653"/>
      <c r="D57" s="654"/>
      <c r="F57" s="306"/>
      <c r="G57" s="306">
        <v>49358.315399999999</v>
      </c>
      <c r="H57" s="307">
        <v>5248487.4020000007</v>
      </c>
      <c r="I57" s="115">
        <v>0</v>
      </c>
      <c r="J57" s="307"/>
      <c r="K57" s="308">
        <f t="shared" si="5"/>
        <v>5248487.4020000007</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145572.45000000001</v>
      </c>
      <c r="G64" s="310">
        <f t="shared" si="6"/>
        <v>50222.315399999999</v>
      </c>
      <c r="H64" s="308">
        <f t="shared" si="6"/>
        <v>17876133.419269547</v>
      </c>
      <c r="I64" s="308">
        <f t="shared" si="6"/>
        <v>0</v>
      </c>
      <c r="J64" s="308">
        <f t="shared" si="6"/>
        <v>428116.92</v>
      </c>
      <c r="K64" s="308">
        <f t="shared" si="6"/>
        <v>17448016.499269545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485">
        <v>17405.599999999999</v>
      </c>
      <c r="G68" s="485"/>
      <c r="H68" s="485">
        <v>1021459.97</v>
      </c>
      <c r="I68" s="115">
        <v>0</v>
      </c>
      <c r="J68" s="313"/>
      <c r="K68" s="308">
        <f>(H68+I68)-J68</f>
        <v>1021459.97</v>
      </c>
    </row>
    <row r="69" spans="1:11" ht="18" customHeight="1" x14ac:dyDescent="0.4">
      <c r="A69" s="1" t="s">
        <v>104</v>
      </c>
      <c r="B69" s="94" t="s">
        <v>53</v>
      </c>
      <c r="F69" s="485"/>
      <c r="G69" s="485"/>
      <c r="H69" s="485">
        <v>31218.985000000008</v>
      </c>
      <c r="I69" s="115">
        <v>0</v>
      </c>
      <c r="J69" s="313"/>
      <c r="K69" s="308">
        <f>(H69+I69)-J69</f>
        <v>31218.985000000008</v>
      </c>
    </row>
    <row r="70" spans="1:11" ht="18" customHeight="1" x14ac:dyDescent="0.4">
      <c r="A70" s="1" t="s">
        <v>178</v>
      </c>
      <c r="B70" s="400"/>
      <c r="C70" s="401"/>
      <c r="D70" s="402"/>
      <c r="E70" s="95"/>
      <c r="F70" s="486"/>
      <c r="G70" s="486"/>
      <c r="H70" s="486"/>
      <c r="I70" s="115">
        <v>0</v>
      </c>
      <c r="J70" s="105"/>
      <c r="K70" s="308">
        <f>(H70+I70)-J70</f>
        <v>0</v>
      </c>
    </row>
    <row r="71" spans="1:11" ht="18" customHeight="1" x14ac:dyDescent="0.4">
      <c r="A71" s="1" t="s">
        <v>179</v>
      </c>
      <c r="B71" s="400"/>
      <c r="C71" s="401"/>
      <c r="D71" s="402"/>
      <c r="E71" s="95"/>
      <c r="F71" s="486"/>
      <c r="G71" s="486"/>
      <c r="H71" s="486"/>
      <c r="I71" s="115">
        <v>0</v>
      </c>
      <c r="J71" s="105"/>
      <c r="K71" s="308">
        <f>(H71+I71)-J71</f>
        <v>0</v>
      </c>
    </row>
    <row r="72" spans="1:11" ht="18" customHeight="1" x14ac:dyDescent="0.4">
      <c r="A72" s="1" t="s">
        <v>180</v>
      </c>
      <c r="B72" s="406"/>
      <c r="C72" s="407"/>
      <c r="D72" s="408"/>
      <c r="E72" s="95"/>
      <c r="F72" s="485"/>
      <c r="G72" s="485"/>
      <c r="H72" s="485"/>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342">
        <f t="shared" ref="F74:K74" si="7">SUM(F68:F72)</f>
        <v>17405.599999999999</v>
      </c>
      <c r="G74" s="342">
        <f t="shared" si="7"/>
        <v>0</v>
      </c>
      <c r="H74" s="342">
        <f t="shared" si="7"/>
        <v>1052678.9550000001</v>
      </c>
      <c r="I74" s="412">
        <f t="shared" si="7"/>
        <v>0</v>
      </c>
      <c r="J74" s="411">
        <f t="shared" si="7"/>
        <v>0</v>
      </c>
      <c r="K74" s="308">
        <f t="shared" si="7"/>
        <v>1052678.9550000001</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152.54249999999999</v>
      </c>
      <c r="G77" s="306"/>
      <c r="H77" s="307">
        <v>320962.7328</v>
      </c>
      <c r="I77" s="115">
        <v>0</v>
      </c>
      <c r="J77" s="307"/>
      <c r="K77" s="308">
        <f>(H77+I77)-J77</f>
        <v>320962.7328</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122.7581</v>
      </c>
      <c r="G79" s="306">
        <v>12.758099999999999</v>
      </c>
      <c r="H79" s="307">
        <v>49352.13</v>
      </c>
      <c r="I79" s="115">
        <v>0</v>
      </c>
      <c r="J79" s="307"/>
      <c r="K79" s="308">
        <f>(H79+I79)-J79</f>
        <v>49352.13</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275.30059999999997</v>
      </c>
      <c r="G82" s="411">
        <f t="shared" si="8"/>
        <v>12.758099999999999</v>
      </c>
      <c r="H82" s="308">
        <f t="shared" si="8"/>
        <v>370314.8628</v>
      </c>
      <c r="I82" s="308">
        <f t="shared" si="8"/>
        <v>0</v>
      </c>
      <c r="J82" s="308">
        <f t="shared" si="8"/>
        <v>0</v>
      </c>
      <c r="K82" s="308">
        <f t="shared" si="8"/>
        <v>370314.8628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v>1550.7</v>
      </c>
      <c r="G88" s="306">
        <v>802</v>
      </c>
      <c r="H88" s="307">
        <v>77565.600000000006</v>
      </c>
      <c r="I88" s="115">
        <f t="shared" si="9"/>
        <v>56487.318844320005</v>
      </c>
      <c r="J88" s="307"/>
      <c r="K88" s="308">
        <f t="shared" si="10"/>
        <v>134052.91884432</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v>146.16344999999998</v>
      </c>
      <c r="G90" s="306">
        <v>242.40389999999999</v>
      </c>
      <c r="H90" s="307"/>
      <c r="I90" s="115">
        <f t="shared" si="9"/>
        <v>0</v>
      </c>
      <c r="J90" s="307"/>
      <c r="K90" s="308">
        <f t="shared" si="10"/>
        <v>0</v>
      </c>
    </row>
    <row r="91" spans="1:11" ht="18" customHeight="1" x14ac:dyDescent="0.4">
      <c r="A91" s="1" t="s">
        <v>119</v>
      </c>
      <c r="B91" s="94" t="s">
        <v>60</v>
      </c>
      <c r="F91" s="306">
        <v>1149.1623349999998</v>
      </c>
      <c r="G91" s="306">
        <v>128.48660000000001</v>
      </c>
      <c r="H91" s="307">
        <v>164330.66163629998</v>
      </c>
      <c r="I91" s="115">
        <f t="shared" si="9"/>
        <v>119674.16586409106</v>
      </c>
      <c r="J91" s="307">
        <v>1151.8900199999998</v>
      </c>
      <c r="K91" s="308">
        <f t="shared" si="10"/>
        <v>282852.93748039106</v>
      </c>
    </row>
    <row r="92" spans="1:11" ht="18" customHeight="1" x14ac:dyDescent="0.4">
      <c r="A92" s="1" t="s">
        <v>120</v>
      </c>
      <c r="B92" s="94" t="s">
        <v>121</v>
      </c>
      <c r="F92" s="107">
        <v>576.88799999999992</v>
      </c>
      <c r="G92" s="107"/>
      <c r="H92" s="108"/>
      <c r="I92" s="115">
        <f t="shared" si="9"/>
        <v>0</v>
      </c>
      <c r="J92" s="108"/>
      <c r="K92" s="308">
        <f t="shared" si="10"/>
        <v>0</v>
      </c>
    </row>
    <row r="93" spans="1:11" ht="18" customHeight="1" x14ac:dyDescent="0.4">
      <c r="A93" s="1" t="s">
        <v>122</v>
      </c>
      <c r="B93" s="94" t="s">
        <v>123</v>
      </c>
      <c r="F93" s="306">
        <v>641.10940000000005</v>
      </c>
      <c r="G93" s="306">
        <v>2880</v>
      </c>
      <c r="H93" s="307">
        <v>26880</v>
      </c>
      <c r="I93" s="115">
        <f t="shared" si="9"/>
        <v>19575.419136</v>
      </c>
      <c r="J93" s="307"/>
      <c r="K93" s="308">
        <f t="shared" si="10"/>
        <v>46455.419135999997</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4064.023185</v>
      </c>
      <c r="G98" s="310">
        <f t="shared" si="11"/>
        <v>4052.8905</v>
      </c>
      <c r="H98" s="310">
        <f t="shared" si="11"/>
        <v>268776.26163630001</v>
      </c>
      <c r="I98" s="310">
        <f t="shared" si="11"/>
        <v>195736.90384441108</v>
      </c>
      <c r="J98" s="310">
        <f t="shared" si="11"/>
        <v>1151.8900199999998</v>
      </c>
      <c r="K98" s="310">
        <f t="shared" si="11"/>
        <v>463361.27546071104</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879.09410699999989</v>
      </c>
      <c r="G102" s="306"/>
      <c r="H102" s="307">
        <v>113108.09522053829</v>
      </c>
      <c r="I102" s="115">
        <f>H102*F$114</f>
        <v>82371.219182166504</v>
      </c>
      <c r="J102" s="307">
        <v>998.30468399999995</v>
      </c>
      <c r="K102" s="308">
        <f>(H102+I102)-J102</f>
        <v>194481.00971870479</v>
      </c>
    </row>
    <row r="103" spans="1:11" ht="18" customHeight="1" x14ac:dyDescent="0.4">
      <c r="A103" s="1" t="s">
        <v>132</v>
      </c>
      <c r="B103" s="635" t="s">
        <v>62</v>
      </c>
      <c r="C103" s="635"/>
      <c r="F103" s="306"/>
      <c r="G103" s="306"/>
      <c r="H103" s="307">
        <v>127398.037752</v>
      </c>
      <c r="I103" s="115">
        <f>H103*F$114</f>
        <v>92777.901268577058</v>
      </c>
      <c r="J103" s="307"/>
      <c r="K103" s="308">
        <f>(H103+I103)-J103</f>
        <v>220175.93902057706</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879.09410699999989</v>
      </c>
      <c r="G108" s="310">
        <f t="shared" si="12"/>
        <v>0</v>
      </c>
      <c r="H108" s="308">
        <f t="shared" si="12"/>
        <v>240506.1329725383</v>
      </c>
      <c r="I108" s="308">
        <f t="shared" si="12"/>
        <v>175149.12045074356</v>
      </c>
      <c r="J108" s="308">
        <f t="shared" si="12"/>
        <v>998.30468399999995</v>
      </c>
      <c r="K108" s="308">
        <f t="shared" si="12"/>
        <v>414656.94873928186</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9670998.9299999997</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0.72825220000000002</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407567416</v>
      </c>
    </row>
    <row r="118" spans="1:6" ht="18" customHeight="1" x14ac:dyDescent="0.4">
      <c r="A118" s="1" t="s">
        <v>173</v>
      </c>
      <c r="B118" t="s">
        <v>18</v>
      </c>
      <c r="F118" s="307">
        <v>11465409</v>
      </c>
    </row>
    <row r="119" spans="1:6" ht="18" customHeight="1" x14ac:dyDescent="0.4">
      <c r="A119" s="1" t="s">
        <v>174</v>
      </c>
      <c r="B119" s="95" t="s">
        <v>19</v>
      </c>
      <c r="F119" s="308">
        <f>SUM(F117:F118)</f>
        <v>419032825</v>
      </c>
    </row>
    <row r="120" spans="1:6" ht="18" customHeight="1" x14ac:dyDescent="0.4">
      <c r="A120" s="1"/>
      <c r="B120" s="95"/>
    </row>
    <row r="121" spans="1:6" ht="18" customHeight="1" x14ac:dyDescent="0.4">
      <c r="A121" s="1" t="s">
        <v>167</v>
      </c>
      <c r="B121" s="95" t="s">
        <v>36</v>
      </c>
      <c r="F121" s="307">
        <v>395307320</v>
      </c>
    </row>
    <row r="122" spans="1:6" ht="18" customHeight="1" x14ac:dyDescent="0.4">
      <c r="A122" s="1"/>
    </row>
    <row r="123" spans="1:6" ht="18" customHeight="1" x14ac:dyDescent="0.4">
      <c r="A123" s="1" t="s">
        <v>175</v>
      </c>
      <c r="B123" s="95" t="s">
        <v>20</v>
      </c>
      <c r="F123" s="307">
        <f>F119-F121</f>
        <v>23725505</v>
      </c>
    </row>
    <row r="124" spans="1:6" ht="18" customHeight="1" x14ac:dyDescent="0.4">
      <c r="A124" s="1"/>
    </row>
    <row r="125" spans="1:6" ht="18" customHeight="1" x14ac:dyDescent="0.4">
      <c r="A125" s="1" t="s">
        <v>176</v>
      </c>
      <c r="B125" s="95" t="s">
        <v>21</v>
      </c>
      <c r="F125" s="307">
        <v>6305996</v>
      </c>
    </row>
    <row r="126" spans="1:6" ht="18" customHeight="1" x14ac:dyDescent="0.4">
      <c r="A126" s="1"/>
    </row>
    <row r="127" spans="1:6" ht="18" customHeight="1" x14ac:dyDescent="0.4">
      <c r="A127" s="1" t="s">
        <v>177</v>
      </c>
      <c r="B127" s="95" t="s">
        <v>22</v>
      </c>
      <c r="F127" s="307">
        <f>F123+F125</f>
        <v>30031501</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15674.714969999999</v>
      </c>
      <c r="G141" s="109">
        <f t="shared" si="14"/>
        <v>16932.214900000003</v>
      </c>
      <c r="H141" s="109">
        <f t="shared" si="14"/>
        <v>5606834.0965350708</v>
      </c>
      <c r="I141" s="109">
        <f t="shared" si="14"/>
        <v>2148070.341778974</v>
      </c>
      <c r="J141" s="109">
        <f t="shared" si="14"/>
        <v>970425.16784564999</v>
      </c>
      <c r="K141" s="109">
        <f t="shared" si="14"/>
        <v>6784479.2704683952</v>
      </c>
    </row>
    <row r="142" spans="1:11" ht="18" customHeight="1" x14ac:dyDescent="0.4">
      <c r="A142" s="1" t="s">
        <v>142</v>
      </c>
      <c r="B142" s="95" t="s">
        <v>65</v>
      </c>
      <c r="F142" s="109">
        <f t="shared" ref="F142:K142" si="15">F49</f>
        <v>25160.653157000001</v>
      </c>
      <c r="G142" s="109">
        <f t="shared" si="15"/>
        <v>9725.1787499619859</v>
      </c>
      <c r="H142" s="109">
        <f t="shared" si="15"/>
        <v>1354595.8370036776</v>
      </c>
      <c r="I142" s="109">
        <f t="shared" si="15"/>
        <v>0</v>
      </c>
      <c r="J142" s="109">
        <f t="shared" si="15"/>
        <v>0</v>
      </c>
      <c r="K142" s="109">
        <f t="shared" si="15"/>
        <v>1354595.8370036776</v>
      </c>
    </row>
    <row r="143" spans="1:11" ht="18" customHeight="1" x14ac:dyDescent="0.4">
      <c r="A143" s="1" t="s">
        <v>144</v>
      </c>
      <c r="B143" s="95" t="s">
        <v>66</v>
      </c>
      <c r="F143" s="109">
        <f t="shared" ref="F143:K143" si="16">F64</f>
        <v>145572.45000000001</v>
      </c>
      <c r="G143" s="109">
        <f t="shared" si="16"/>
        <v>50222.315399999999</v>
      </c>
      <c r="H143" s="109">
        <f t="shared" si="16"/>
        <v>17876133.419269547</v>
      </c>
      <c r="I143" s="109">
        <f t="shared" si="16"/>
        <v>0</v>
      </c>
      <c r="J143" s="109">
        <f t="shared" si="16"/>
        <v>428116.92</v>
      </c>
      <c r="K143" s="109">
        <f t="shared" si="16"/>
        <v>17448016.499269545</v>
      </c>
    </row>
    <row r="144" spans="1:11" ht="18" customHeight="1" x14ac:dyDescent="0.4">
      <c r="A144" s="1" t="s">
        <v>146</v>
      </c>
      <c r="B144" s="95" t="s">
        <v>67</v>
      </c>
      <c r="F144" s="109">
        <f t="shared" ref="F144:K144" si="17">F74</f>
        <v>17405.599999999999</v>
      </c>
      <c r="G144" s="109">
        <f t="shared" si="17"/>
        <v>0</v>
      </c>
      <c r="H144" s="109">
        <f t="shared" si="17"/>
        <v>1052678.9550000001</v>
      </c>
      <c r="I144" s="109">
        <f t="shared" si="17"/>
        <v>0</v>
      </c>
      <c r="J144" s="109">
        <f t="shared" si="17"/>
        <v>0</v>
      </c>
      <c r="K144" s="109">
        <f t="shared" si="17"/>
        <v>1052678.9550000001</v>
      </c>
    </row>
    <row r="145" spans="1:11" ht="18" customHeight="1" x14ac:dyDescent="0.4">
      <c r="A145" s="1" t="s">
        <v>148</v>
      </c>
      <c r="B145" s="95" t="s">
        <v>68</v>
      </c>
      <c r="F145" s="109">
        <f t="shared" ref="F145:K145" si="18">F82</f>
        <v>275.30059999999997</v>
      </c>
      <c r="G145" s="109">
        <f t="shared" si="18"/>
        <v>12.758099999999999</v>
      </c>
      <c r="H145" s="109">
        <f t="shared" si="18"/>
        <v>370314.8628</v>
      </c>
      <c r="I145" s="109">
        <f t="shared" si="18"/>
        <v>0</v>
      </c>
      <c r="J145" s="109">
        <f t="shared" si="18"/>
        <v>0</v>
      </c>
      <c r="K145" s="109">
        <f t="shared" si="18"/>
        <v>370314.8628</v>
      </c>
    </row>
    <row r="146" spans="1:11" ht="18" customHeight="1" x14ac:dyDescent="0.4">
      <c r="A146" s="1" t="s">
        <v>150</v>
      </c>
      <c r="B146" s="95" t="s">
        <v>69</v>
      </c>
      <c r="F146" s="109">
        <f t="shared" ref="F146:K146" si="19">F98</f>
        <v>4064.023185</v>
      </c>
      <c r="G146" s="109">
        <f t="shared" si="19"/>
        <v>4052.8905</v>
      </c>
      <c r="H146" s="109">
        <f t="shared" si="19"/>
        <v>268776.26163630001</v>
      </c>
      <c r="I146" s="109">
        <f t="shared" si="19"/>
        <v>195736.90384441108</v>
      </c>
      <c r="J146" s="109">
        <f t="shared" si="19"/>
        <v>1151.8900199999998</v>
      </c>
      <c r="K146" s="109">
        <f t="shared" si="19"/>
        <v>463361.27546071104</v>
      </c>
    </row>
    <row r="147" spans="1:11" ht="18" customHeight="1" x14ac:dyDescent="0.4">
      <c r="A147" s="1" t="s">
        <v>153</v>
      </c>
      <c r="B147" s="95" t="s">
        <v>61</v>
      </c>
      <c r="F147" s="310">
        <f t="shared" ref="F147:K147" si="20">F108</f>
        <v>879.09410699999989</v>
      </c>
      <c r="G147" s="310">
        <f t="shared" si="20"/>
        <v>0</v>
      </c>
      <c r="H147" s="310">
        <f t="shared" si="20"/>
        <v>240506.1329725383</v>
      </c>
      <c r="I147" s="310">
        <f t="shared" si="20"/>
        <v>175149.12045074356</v>
      </c>
      <c r="J147" s="310">
        <f t="shared" si="20"/>
        <v>998.30468399999995</v>
      </c>
      <c r="K147" s="310">
        <f t="shared" si="20"/>
        <v>414656.94873928186</v>
      </c>
    </row>
    <row r="148" spans="1:11" ht="18" customHeight="1" x14ac:dyDescent="0.4">
      <c r="A148" s="1" t="s">
        <v>155</v>
      </c>
      <c r="B148" s="95" t="s">
        <v>70</v>
      </c>
      <c r="F148" s="110" t="s">
        <v>73</v>
      </c>
      <c r="G148" s="110" t="s">
        <v>73</v>
      </c>
      <c r="H148" s="111" t="s">
        <v>73</v>
      </c>
      <c r="I148" s="111" t="s">
        <v>73</v>
      </c>
      <c r="J148" s="111" t="s">
        <v>73</v>
      </c>
      <c r="K148" s="106">
        <f>F111</f>
        <v>9670998.9299999997</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8680368.9299999997</v>
      </c>
      <c r="I150" s="310">
        <f>I18</f>
        <v>0</v>
      </c>
      <c r="J150" s="310">
        <f>J18</f>
        <v>7194030.7000000002</v>
      </c>
      <c r="K150" s="310">
        <f>K18</f>
        <v>1486338.2299999995</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209031.83601900001</v>
      </c>
      <c r="G152" s="114">
        <f t="shared" si="22"/>
        <v>80945.357649961996</v>
      </c>
      <c r="H152" s="114">
        <f t="shared" si="22"/>
        <v>35450208.49521713</v>
      </c>
      <c r="I152" s="114">
        <f t="shared" si="22"/>
        <v>2518956.3660741285</v>
      </c>
      <c r="J152" s="114">
        <f t="shared" si="22"/>
        <v>8594722.9825496506</v>
      </c>
      <c r="K152" s="114">
        <f t="shared" si="22"/>
        <v>39045440.808741607</v>
      </c>
    </row>
    <row r="154" spans="1:11" ht="18" customHeight="1" x14ac:dyDescent="0.4">
      <c r="A154" s="98" t="s">
        <v>168</v>
      </c>
      <c r="B154" s="95" t="s">
        <v>28</v>
      </c>
      <c r="F154" s="318">
        <f>K152/F121</f>
        <v>9.8772369833024107E-2</v>
      </c>
    </row>
    <row r="155" spans="1:11" ht="18" customHeight="1" x14ac:dyDescent="0.4">
      <c r="A155" s="98" t="s">
        <v>169</v>
      </c>
      <c r="B155" s="95" t="s">
        <v>72</v>
      </c>
      <c r="F155" s="318">
        <f>K152/F127</f>
        <v>1.3001494933184194</v>
      </c>
      <c r="G155" s="95"/>
    </row>
    <row r="156" spans="1:11" ht="18" customHeight="1" x14ac:dyDescent="0.4">
      <c r="G156" s="95"/>
    </row>
  </sheetData>
  <mergeCells count="34">
    <mergeCell ref="D2:H2"/>
    <mergeCell ref="B45:D45"/>
    <mergeCell ref="B46:D46"/>
    <mergeCell ref="B47:D47"/>
    <mergeCell ref="B34:D34"/>
    <mergeCell ref="B41:C41"/>
    <mergeCell ref="B44:D44"/>
    <mergeCell ref="B13:H13"/>
    <mergeCell ref="C5:G5"/>
    <mergeCell ref="C6:G6"/>
    <mergeCell ref="C7:G7"/>
    <mergeCell ref="C11:G11"/>
    <mergeCell ref="C9:G9"/>
    <mergeCell ref="C10:G10"/>
    <mergeCell ref="B31:D31"/>
    <mergeCell ref="B30:D30"/>
    <mergeCell ref="B134:D134"/>
    <mergeCell ref="B135:D135"/>
    <mergeCell ref="B133:D133"/>
    <mergeCell ref="B104:D104"/>
    <mergeCell ref="B105:D105"/>
    <mergeCell ref="B106:D106"/>
    <mergeCell ref="B103:C103"/>
    <mergeCell ref="B96:D96"/>
    <mergeCell ref="B95:D95"/>
    <mergeCell ref="B57:D57"/>
    <mergeCell ref="B94:D94"/>
    <mergeCell ref="B90:C90"/>
    <mergeCell ref="B59:D59"/>
    <mergeCell ref="B52:C52"/>
    <mergeCell ref="B53:D53"/>
    <mergeCell ref="B55:D55"/>
    <mergeCell ref="B56:D56"/>
    <mergeCell ref="B62:D6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0"/>
  <dimension ref="A1:K156"/>
  <sheetViews>
    <sheetView showGridLines="0" topLeftCell="A136" zoomScale="80" zoomScaleNormal="80" zoomScaleSheetLayoutView="70" workbookViewId="0">
      <selection activeCell="L152" sqref="L152"/>
    </sheetView>
  </sheetViews>
  <sheetFormatPr defaultColWidth="8.71875" defaultRowHeight="18" customHeight="1" x14ac:dyDescent="0.4"/>
  <cols>
    <col min="1" max="1" width="8.27734375" style="93" customWidth="1"/>
    <col min="2" max="2" width="42.1640625" bestFit="1" customWidth="1"/>
    <col min="3" max="3" width="9.5546875" customWidth="1"/>
    <col min="5" max="5" width="7.1640625" bestFit="1" customWidth="1"/>
    <col min="6" max="6" width="18.5546875" customWidth="1"/>
    <col min="7" max="7" width="18.5546875" bestFit="1" customWidth="1"/>
    <col min="8" max="8" width="15.71875" bestFit="1" customWidth="1"/>
    <col min="9" max="9" width="17.71875" bestFit="1" customWidth="1"/>
    <col min="10" max="10" width="12.71875" bestFit="1" customWidth="1"/>
    <col min="11" max="11" width="16.5546875" bestFit="1"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844</v>
      </c>
      <c r="D5" s="666"/>
      <c r="E5" s="666"/>
      <c r="F5" s="666"/>
      <c r="G5" s="667"/>
    </row>
    <row r="6" spans="1:11" ht="18" customHeight="1" x14ac:dyDescent="0.4">
      <c r="B6" s="1" t="s">
        <v>3</v>
      </c>
      <c r="C6" s="683">
        <v>3029</v>
      </c>
      <c r="D6" s="684"/>
      <c r="E6" s="684"/>
      <c r="F6" s="684"/>
      <c r="G6" s="685"/>
    </row>
    <row r="7" spans="1:11" ht="18" customHeight="1" x14ac:dyDescent="0.4">
      <c r="B7" s="1" t="s">
        <v>4</v>
      </c>
      <c r="C7" s="686">
        <v>476</v>
      </c>
      <c r="D7" s="687"/>
      <c r="E7" s="687"/>
      <c r="F7" s="687"/>
      <c r="G7" s="688"/>
    </row>
    <row r="9" spans="1:11" ht="18" customHeight="1" x14ac:dyDescent="0.4">
      <c r="B9" s="1" t="s">
        <v>1</v>
      </c>
      <c r="C9" s="663" t="s">
        <v>500</v>
      </c>
      <c r="D9" s="666"/>
      <c r="E9" s="666"/>
      <c r="F9" s="666"/>
      <c r="G9" s="667"/>
    </row>
    <row r="10" spans="1:11" ht="18" customHeight="1" x14ac:dyDescent="0.4">
      <c r="B10" s="1" t="s">
        <v>2</v>
      </c>
      <c r="C10" s="660" t="s">
        <v>501</v>
      </c>
      <c r="D10" s="661"/>
      <c r="E10" s="661"/>
      <c r="F10" s="661"/>
      <c r="G10" s="662"/>
    </row>
    <row r="11" spans="1:11" ht="18" customHeight="1" x14ac:dyDescent="0.4">
      <c r="B11" s="1" t="s">
        <v>32</v>
      </c>
      <c r="C11" s="663" t="s">
        <v>502</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v>0</v>
      </c>
      <c r="G18" s="306">
        <v>0</v>
      </c>
      <c r="H18" s="307"/>
      <c r="I18" s="115">
        <v>0</v>
      </c>
      <c r="J18" s="307"/>
      <c r="K18" s="308">
        <f>(H18+I18)-J18</f>
        <v>0</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857.51040315866794</v>
      </c>
      <c r="G21" s="306">
        <v>1239.2581935748985</v>
      </c>
      <c r="H21" s="306">
        <v>53151.453367164431</v>
      </c>
      <c r="I21" s="115">
        <v>47808.147830065907</v>
      </c>
      <c r="J21" s="307"/>
      <c r="K21" s="308">
        <f t="shared" ref="K21:K34" si="0">(H21+I21)-J21</f>
        <v>100959.60119723034</v>
      </c>
    </row>
    <row r="22" spans="1:11" ht="18" customHeight="1" x14ac:dyDescent="0.4">
      <c r="A22" s="1" t="s">
        <v>76</v>
      </c>
      <c r="B22" t="s">
        <v>6</v>
      </c>
      <c r="F22" s="306">
        <v>126.50232000000003</v>
      </c>
      <c r="G22" s="306"/>
      <c r="H22" s="307">
        <v>13878.9089279</v>
      </c>
      <c r="I22" s="115">
        <v>12483.664842831427</v>
      </c>
      <c r="J22" s="307"/>
      <c r="K22" s="308">
        <f t="shared" si="0"/>
        <v>26362.573770731426</v>
      </c>
    </row>
    <row r="23" spans="1:11" ht="18" customHeight="1" x14ac:dyDescent="0.4">
      <c r="A23" s="1" t="s">
        <v>77</v>
      </c>
      <c r="B23" t="s">
        <v>43</v>
      </c>
      <c r="F23" s="306"/>
      <c r="G23" s="306"/>
      <c r="H23" s="307"/>
      <c r="I23" s="115">
        <f t="shared" ref="I23:I34" si="1">H23*F$114</f>
        <v>0</v>
      </c>
      <c r="J23" s="307"/>
      <c r="K23" s="308">
        <f t="shared" si="0"/>
        <v>0</v>
      </c>
    </row>
    <row r="24" spans="1:11" ht="18" customHeight="1" x14ac:dyDescent="0.4">
      <c r="A24" s="1" t="s">
        <v>78</v>
      </c>
      <c r="B24" t="s">
        <v>44</v>
      </c>
      <c r="F24" s="306">
        <v>20580</v>
      </c>
      <c r="G24" s="306">
        <v>33162</v>
      </c>
      <c r="H24" s="307">
        <v>654785.29</v>
      </c>
      <c r="I24" s="115">
        <v>588959.84884980414</v>
      </c>
      <c r="J24" s="307">
        <v>272175</v>
      </c>
      <c r="K24" s="308">
        <f t="shared" si="0"/>
        <v>971570.13884980418</v>
      </c>
    </row>
    <row r="25" spans="1:11" ht="18" customHeight="1" x14ac:dyDescent="0.4">
      <c r="A25" s="1" t="s">
        <v>79</v>
      </c>
      <c r="B25" t="s">
        <v>5</v>
      </c>
      <c r="F25" s="306">
        <v>208.69968000000003</v>
      </c>
      <c r="G25" s="306"/>
      <c r="H25" s="307">
        <v>9344.2000488000012</v>
      </c>
      <c r="I25" s="115">
        <v>8404.8293882160688</v>
      </c>
      <c r="J25" s="307"/>
      <c r="K25" s="308">
        <f t="shared" si="0"/>
        <v>17749.02943701607</v>
      </c>
    </row>
    <row r="26" spans="1:11" ht="18" customHeight="1" x14ac:dyDescent="0.4">
      <c r="A26" s="1" t="s">
        <v>80</v>
      </c>
      <c r="B26" t="s">
        <v>45</v>
      </c>
      <c r="F26" s="306"/>
      <c r="G26" s="306"/>
      <c r="H26" s="307"/>
      <c r="I26" s="115">
        <f t="shared" si="1"/>
        <v>0</v>
      </c>
      <c r="J26" s="307"/>
      <c r="K26" s="308">
        <f t="shared" si="0"/>
        <v>0</v>
      </c>
    </row>
    <row r="27" spans="1:11" ht="18" customHeight="1" x14ac:dyDescent="0.4">
      <c r="A27" s="1" t="s">
        <v>81</v>
      </c>
      <c r="B27" t="s">
        <v>455</v>
      </c>
      <c r="F27" s="306"/>
      <c r="G27" s="306"/>
      <c r="H27" s="307"/>
      <c r="I27" s="115">
        <f t="shared" si="1"/>
        <v>0</v>
      </c>
      <c r="J27" s="307"/>
      <c r="K27" s="308">
        <f t="shared" si="0"/>
        <v>0</v>
      </c>
    </row>
    <row r="28" spans="1:11" ht="18" customHeight="1" x14ac:dyDescent="0.4">
      <c r="A28" s="1" t="s">
        <v>82</v>
      </c>
      <c r="B28" t="s">
        <v>47</v>
      </c>
      <c r="F28" s="306"/>
      <c r="G28" s="306"/>
      <c r="H28" s="307"/>
      <c r="I28" s="115">
        <f t="shared" si="1"/>
        <v>0</v>
      </c>
      <c r="J28" s="307"/>
      <c r="K28" s="308">
        <f t="shared" si="0"/>
        <v>0</v>
      </c>
    </row>
    <row r="29" spans="1:11" ht="18" customHeight="1" x14ac:dyDescent="0.4">
      <c r="A29" s="1" t="s">
        <v>83</v>
      </c>
      <c r="B29" t="s">
        <v>48</v>
      </c>
      <c r="F29" s="306">
        <v>43.725321282841122</v>
      </c>
      <c r="G29" s="306"/>
      <c r="H29" s="307">
        <v>107285.78843248003</v>
      </c>
      <c r="I29" s="115">
        <v>89304.606931727278</v>
      </c>
      <c r="J29" s="307"/>
      <c r="K29" s="308">
        <f t="shared" si="0"/>
        <v>196590.3953642073</v>
      </c>
    </row>
    <row r="30" spans="1:11" ht="18" customHeight="1" x14ac:dyDescent="0.4">
      <c r="A30" s="1" t="s">
        <v>84</v>
      </c>
      <c r="B30" s="630"/>
      <c r="C30" s="631"/>
      <c r="D30" s="632"/>
      <c r="F30" s="306"/>
      <c r="G30" s="306"/>
      <c r="H30" s="307"/>
      <c r="I30" s="115">
        <f t="shared" si="1"/>
        <v>0</v>
      </c>
      <c r="J30" s="307"/>
      <c r="K30" s="308">
        <f t="shared" si="0"/>
        <v>0</v>
      </c>
    </row>
    <row r="31" spans="1:11" ht="18" customHeight="1" x14ac:dyDescent="0.4">
      <c r="A31" s="1" t="s">
        <v>133</v>
      </c>
      <c r="B31" s="630"/>
      <c r="C31" s="631"/>
      <c r="D31" s="632"/>
      <c r="F31" s="306"/>
      <c r="G31" s="306"/>
      <c r="H31" s="307"/>
      <c r="I31" s="115">
        <f t="shared" si="1"/>
        <v>0</v>
      </c>
      <c r="J31" s="307"/>
      <c r="K31" s="308">
        <f t="shared" si="0"/>
        <v>0</v>
      </c>
    </row>
    <row r="32" spans="1:11" ht="18" customHeight="1" x14ac:dyDescent="0.4">
      <c r="A32" s="1" t="s">
        <v>134</v>
      </c>
      <c r="B32" s="394"/>
      <c r="C32" s="395"/>
      <c r="D32" s="396"/>
      <c r="F32" s="306"/>
      <c r="G32" s="309" t="s">
        <v>85</v>
      </c>
      <c r="H32" s="307"/>
      <c r="I32" s="115">
        <f t="shared" si="1"/>
        <v>0</v>
      </c>
      <c r="J32" s="307"/>
      <c r="K32" s="308">
        <f t="shared" si="0"/>
        <v>0</v>
      </c>
    </row>
    <row r="33" spans="1:11" ht="18" customHeight="1" x14ac:dyDescent="0.4">
      <c r="A33" s="1" t="s">
        <v>135</v>
      </c>
      <c r="B33" s="394"/>
      <c r="C33" s="395"/>
      <c r="D33" s="396"/>
      <c r="F33" s="306"/>
      <c r="G33" s="309" t="s">
        <v>85</v>
      </c>
      <c r="H33" s="307"/>
      <c r="I33" s="115">
        <f t="shared" si="1"/>
        <v>0</v>
      </c>
      <c r="J33" s="307"/>
      <c r="K33" s="308">
        <f t="shared" si="0"/>
        <v>0</v>
      </c>
    </row>
    <row r="34" spans="1:11" ht="18" customHeight="1" x14ac:dyDescent="0.4">
      <c r="A34" s="1" t="s">
        <v>136</v>
      </c>
      <c r="B34" s="630"/>
      <c r="C34" s="631"/>
      <c r="D34" s="632"/>
      <c r="F34" s="306"/>
      <c r="G34" s="309" t="s">
        <v>85</v>
      </c>
      <c r="H34" s="307"/>
      <c r="I34" s="115">
        <f t="shared" si="1"/>
        <v>0</v>
      </c>
      <c r="J34" s="307"/>
      <c r="K34" s="308">
        <f t="shared" si="0"/>
        <v>0</v>
      </c>
    </row>
    <row r="35" spans="1:11" ht="18" customHeight="1" x14ac:dyDescent="0.4">
      <c r="K35" s="397"/>
    </row>
    <row r="36" spans="1:11" ht="18" customHeight="1" x14ac:dyDescent="0.4">
      <c r="A36" s="98" t="s">
        <v>137</v>
      </c>
      <c r="B36" s="95" t="s">
        <v>138</v>
      </c>
      <c r="E36" s="95" t="s">
        <v>7</v>
      </c>
      <c r="F36" s="310">
        <f t="shared" ref="F36:K36" si="2">SUM(F21:F34)</f>
        <v>21816.437724441508</v>
      </c>
      <c r="G36" s="310">
        <f t="shared" si="2"/>
        <v>34401.258193574897</v>
      </c>
      <c r="H36" s="310">
        <f t="shared" si="2"/>
        <v>838445.64077634446</v>
      </c>
      <c r="I36" s="308">
        <f t="shared" si="2"/>
        <v>746961.09784264478</v>
      </c>
      <c r="J36" s="308">
        <f t="shared" si="2"/>
        <v>272175</v>
      </c>
      <c r="K36" s="308">
        <f t="shared" si="2"/>
        <v>1313231.7386189892</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c r="G40" s="306"/>
      <c r="H40" s="307"/>
      <c r="I40" s="115">
        <v>0</v>
      </c>
      <c r="J40" s="307"/>
      <c r="K40" s="308">
        <f t="shared" ref="K40:K47" si="3">(H40+I40)-J40</f>
        <v>0</v>
      </c>
    </row>
    <row r="41" spans="1:11" ht="18" customHeight="1" x14ac:dyDescent="0.4">
      <c r="A41" s="1" t="s">
        <v>88</v>
      </c>
      <c r="B41" s="635" t="s">
        <v>50</v>
      </c>
      <c r="C41" s="636"/>
      <c r="F41" s="306"/>
      <c r="G41" s="306"/>
      <c r="H41" s="307"/>
      <c r="I41" s="115">
        <v>0</v>
      </c>
      <c r="J41" s="307"/>
      <c r="K41" s="308">
        <f t="shared" si="3"/>
        <v>0</v>
      </c>
    </row>
    <row r="42" spans="1:11" ht="18" customHeight="1" x14ac:dyDescent="0.4">
      <c r="A42" s="1" t="s">
        <v>89</v>
      </c>
      <c r="B42" s="94" t="s">
        <v>11</v>
      </c>
      <c r="F42" s="306">
        <v>1813.9212500000001</v>
      </c>
      <c r="G42" s="306">
        <v>4002</v>
      </c>
      <c r="H42" s="307">
        <v>93655.639686740004</v>
      </c>
      <c r="I42" s="115">
        <v>0</v>
      </c>
      <c r="J42" s="307">
        <v>923.42252000000008</v>
      </c>
      <c r="K42" s="308">
        <f t="shared" si="3"/>
        <v>92732.217166740011</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1813.9212500000001</v>
      </c>
      <c r="G49" s="312">
        <f t="shared" si="4"/>
        <v>4002</v>
      </c>
      <c r="H49" s="308">
        <f t="shared" si="4"/>
        <v>93655.639686740004</v>
      </c>
      <c r="I49" s="308">
        <f t="shared" si="4"/>
        <v>0</v>
      </c>
      <c r="J49" s="308">
        <f t="shared" si="4"/>
        <v>923.42252000000008</v>
      </c>
      <c r="K49" s="308">
        <f t="shared" si="4"/>
        <v>92732.217166740011</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187</v>
      </c>
      <c r="C53" s="659"/>
      <c r="D53" s="654"/>
      <c r="F53" s="306"/>
      <c r="G53" s="306"/>
      <c r="H53" s="307">
        <v>80109.071495414144</v>
      </c>
      <c r="I53" s="115">
        <v>0</v>
      </c>
      <c r="J53" s="307"/>
      <c r="K53" s="308">
        <f t="shared" ref="K53:K62" si="5">(H53+I53)-J53</f>
        <v>80109.071495414144</v>
      </c>
    </row>
    <row r="54" spans="1:11" ht="18" customHeight="1" x14ac:dyDescent="0.4">
      <c r="A54" s="1" t="s">
        <v>93</v>
      </c>
      <c r="B54" s="828" t="s">
        <v>188</v>
      </c>
      <c r="C54" s="829"/>
      <c r="D54" s="830"/>
      <c r="F54" s="306"/>
      <c r="G54" s="306"/>
      <c r="H54" s="307">
        <v>52952.06</v>
      </c>
      <c r="I54" s="115">
        <v>0</v>
      </c>
      <c r="J54" s="307"/>
      <c r="K54" s="308">
        <f t="shared" si="5"/>
        <v>52952.06</v>
      </c>
    </row>
    <row r="55" spans="1:11" ht="18" customHeight="1" x14ac:dyDescent="0.4">
      <c r="A55" s="1" t="s">
        <v>94</v>
      </c>
      <c r="B55" s="655"/>
      <c r="C55" s="653"/>
      <c r="D55" s="654"/>
      <c r="F55" s="306"/>
      <c r="G55" s="306"/>
      <c r="H55" s="307"/>
      <c r="I55" s="115">
        <v>0</v>
      </c>
      <c r="J55" s="307"/>
      <c r="K55" s="308">
        <f t="shared" si="5"/>
        <v>0</v>
      </c>
    </row>
    <row r="56" spans="1:11" ht="18" customHeight="1" x14ac:dyDescent="0.4">
      <c r="A56" s="1" t="s">
        <v>95</v>
      </c>
      <c r="B56" s="655"/>
      <c r="C56" s="653"/>
      <c r="D56" s="654"/>
      <c r="F56" s="306"/>
      <c r="G56" s="306"/>
      <c r="H56" s="307"/>
      <c r="I56" s="115">
        <v>0</v>
      </c>
      <c r="J56" s="307"/>
      <c r="K56" s="308">
        <f t="shared" si="5"/>
        <v>0</v>
      </c>
    </row>
    <row r="57" spans="1:11" ht="18" customHeight="1" x14ac:dyDescent="0.4">
      <c r="A57" s="1" t="s">
        <v>96</v>
      </c>
      <c r="B57" s="828" t="s">
        <v>189</v>
      </c>
      <c r="C57" s="829"/>
      <c r="D57" s="830"/>
      <c r="F57" s="306"/>
      <c r="G57" s="306">
        <v>6175.3508000000002</v>
      </c>
      <c r="H57" s="307">
        <v>725076</v>
      </c>
      <c r="I57" s="115">
        <v>0</v>
      </c>
      <c r="J57" s="307"/>
      <c r="K57" s="308">
        <f t="shared" si="5"/>
        <v>725076</v>
      </c>
    </row>
    <row r="58" spans="1:11" ht="18" customHeight="1" x14ac:dyDescent="0.4">
      <c r="A58" s="1" t="s">
        <v>97</v>
      </c>
      <c r="B58" s="400"/>
      <c r="C58" s="401"/>
      <c r="D58" s="402"/>
      <c r="F58" s="306"/>
      <c r="G58" s="306"/>
      <c r="H58" s="307"/>
      <c r="I58" s="115">
        <v>0</v>
      </c>
      <c r="J58" s="307"/>
      <c r="K58" s="308">
        <f t="shared" si="5"/>
        <v>0</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c r="C60" s="401"/>
      <c r="D60" s="402"/>
      <c r="F60" s="306"/>
      <c r="G60" s="306"/>
      <c r="H60" s="307"/>
      <c r="I60" s="115">
        <v>0</v>
      </c>
      <c r="J60" s="307"/>
      <c r="K60" s="308">
        <f t="shared" si="5"/>
        <v>0</v>
      </c>
    </row>
    <row r="61" spans="1:11" ht="18" customHeight="1" x14ac:dyDescent="0.4">
      <c r="A61" s="1" t="s">
        <v>100</v>
      </c>
      <c r="B61" s="400"/>
      <c r="C61" s="401"/>
      <c r="D61" s="402"/>
      <c r="F61" s="306"/>
      <c r="G61" s="306"/>
      <c r="H61" s="307"/>
      <c r="I61" s="115">
        <v>0</v>
      </c>
      <c r="J61" s="307"/>
      <c r="K61" s="308">
        <f t="shared" si="5"/>
        <v>0</v>
      </c>
    </row>
    <row r="62" spans="1:11" ht="18" customHeight="1" x14ac:dyDescent="0.4">
      <c r="A62" s="1" t="s">
        <v>101</v>
      </c>
      <c r="B62" s="655"/>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K64" si="6">SUM(F53:F62)</f>
        <v>0</v>
      </c>
      <c r="G64" s="310">
        <f t="shared" si="6"/>
        <v>6175.3508000000002</v>
      </c>
      <c r="H64" s="308">
        <f t="shared" si="6"/>
        <v>858137.13149541407</v>
      </c>
      <c r="I64" s="308">
        <f t="shared" si="6"/>
        <v>0</v>
      </c>
      <c r="J64" s="308">
        <f t="shared" si="6"/>
        <v>0</v>
      </c>
      <c r="K64" s="308">
        <f t="shared" si="6"/>
        <v>858137.13149541407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v>152</v>
      </c>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152</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43156.505600000004</v>
      </c>
      <c r="I77" s="115">
        <v>0</v>
      </c>
      <c r="J77" s="307"/>
      <c r="K77" s="308">
        <f>(H77+I77)-J77</f>
        <v>43156.505600000004</v>
      </c>
    </row>
    <row r="78" spans="1:11" ht="18" customHeight="1" x14ac:dyDescent="0.4">
      <c r="A78" s="1" t="s">
        <v>108</v>
      </c>
      <c r="B78" s="94" t="s">
        <v>55</v>
      </c>
      <c r="F78" s="306"/>
      <c r="G78" s="306"/>
      <c r="H78" s="307"/>
      <c r="I78" s="115">
        <v>0</v>
      </c>
      <c r="J78" s="307"/>
      <c r="K78" s="308">
        <f>(H78+I78)-J78</f>
        <v>0</v>
      </c>
    </row>
    <row r="79" spans="1:11" ht="18" customHeight="1" x14ac:dyDescent="0.4">
      <c r="A79" s="1" t="s">
        <v>109</v>
      </c>
      <c r="B79" s="94" t="s">
        <v>13</v>
      </c>
      <c r="F79" s="306">
        <v>146.59701196183414</v>
      </c>
      <c r="G79" s="306"/>
      <c r="H79" s="307">
        <v>21989.551794275121</v>
      </c>
      <c r="I79" s="115">
        <v>0</v>
      </c>
      <c r="J79" s="307"/>
      <c r="K79" s="308">
        <f>(H79+I79)-J79</f>
        <v>21989.551794275121</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571">
        <f t="shared" ref="F82:K82" si="8">SUM(F77:F80)</f>
        <v>146.59701196183414</v>
      </c>
      <c r="G82" s="411">
        <f t="shared" si="8"/>
        <v>0</v>
      </c>
      <c r="H82" s="308">
        <f t="shared" si="8"/>
        <v>65146.057394275122</v>
      </c>
      <c r="I82" s="308">
        <f t="shared" si="8"/>
        <v>0</v>
      </c>
      <c r="J82" s="308">
        <f t="shared" si="8"/>
        <v>0</v>
      </c>
      <c r="K82" s="308">
        <f t="shared" si="8"/>
        <v>65146.057394275122</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v>401.6</v>
      </c>
      <c r="G88" s="306"/>
      <c r="H88" s="307">
        <v>18940.8</v>
      </c>
      <c r="I88" s="115">
        <v>17036.684964462729</v>
      </c>
      <c r="J88" s="307"/>
      <c r="K88" s="308">
        <f t="shared" si="10"/>
        <v>35977.484964462725</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c r="I90" s="115">
        <f t="shared" si="9"/>
        <v>0</v>
      </c>
      <c r="J90" s="307"/>
      <c r="K90" s="308">
        <f t="shared" si="10"/>
        <v>0</v>
      </c>
    </row>
    <row r="91" spans="1:11" ht="18" customHeight="1" x14ac:dyDescent="0.4">
      <c r="A91" s="1" t="s">
        <v>119</v>
      </c>
      <c r="B91" s="94" t="s">
        <v>60</v>
      </c>
      <c r="F91" s="306">
        <v>127.69947000000001</v>
      </c>
      <c r="G91" s="306"/>
      <c r="H91" s="307">
        <v>10266.155973299999</v>
      </c>
      <c r="I91" s="115">
        <v>9234.1012582968706</v>
      </c>
      <c r="J91" s="307">
        <v>144.11604</v>
      </c>
      <c r="K91" s="308">
        <f t="shared" si="10"/>
        <v>19356.141191596871</v>
      </c>
    </row>
    <row r="92" spans="1:11" ht="18" customHeight="1" x14ac:dyDescent="0.4">
      <c r="A92" s="1" t="s">
        <v>120</v>
      </c>
      <c r="B92" s="94" t="s">
        <v>121</v>
      </c>
      <c r="F92" s="107">
        <v>72.176000000000002</v>
      </c>
      <c r="G92" s="107"/>
      <c r="H92" s="108">
        <v>13137.3285655</v>
      </c>
      <c r="I92" s="115">
        <v>11816.635413766082</v>
      </c>
      <c r="J92" s="108"/>
      <c r="K92" s="308">
        <f t="shared" si="10"/>
        <v>24953.963979266082</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601.47547000000009</v>
      </c>
      <c r="G98" s="310">
        <f t="shared" si="11"/>
        <v>0</v>
      </c>
      <c r="H98" s="310">
        <f t="shared" si="11"/>
        <v>42344.284538799999</v>
      </c>
      <c r="I98" s="310">
        <f t="shared" si="11"/>
        <v>38087.42163652568</v>
      </c>
      <c r="J98" s="310">
        <f t="shared" si="11"/>
        <v>144.11604</v>
      </c>
      <c r="K98" s="310">
        <f t="shared" si="11"/>
        <v>80287.590135325678</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199.99501035033879</v>
      </c>
      <c r="G102" s="306"/>
      <c r="H102" s="307">
        <v>13154.99943983445</v>
      </c>
      <c r="I102" s="115">
        <v>11832.529838451555</v>
      </c>
      <c r="J102" s="307"/>
      <c r="K102" s="308">
        <f>(H102+I102)-J102</f>
        <v>24987.529278286005</v>
      </c>
    </row>
    <row r="103" spans="1:11" ht="18" customHeight="1" x14ac:dyDescent="0.4">
      <c r="A103" s="1" t="s">
        <v>132</v>
      </c>
      <c r="B103" s="635" t="s">
        <v>62</v>
      </c>
      <c r="C103" s="635"/>
      <c r="F103" s="306">
        <v>191.9507812887685</v>
      </c>
      <c r="G103" s="306"/>
      <c r="H103" s="307">
        <v>9961.9431900000018</v>
      </c>
      <c r="I103" s="115">
        <v>8960.4709284668515</v>
      </c>
      <c r="J103" s="307"/>
      <c r="K103" s="308">
        <f>(H103+I103)-J103</f>
        <v>18922.414118466855</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391.94579163910726</v>
      </c>
      <c r="G108" s="310">
        <f t="shared" si="12"/>
        <v>0</v>
      </c>
      <c r="H108" s="308">
        <f t="shared" si="12"/>
        <v>23116.942629834452</v>
      </c>
      <c r="I108" s="308">
        <f t="shared" si="12"/>
        <v>20793.000766918405</v>
      </c>
      <c r="J108" s="308">
        <f t="shared" si="12"/>
        <v>0</v>
      </c>
      <c r="K108" s="308">
        <f t="shared" si="12"/>
        <v>43909.94339675286</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551775.56000000006</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0.89949999999999997</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53718379</v>
      </c>
    </row>
    <row r="118" spans="1:6" ht="18" customHeight="1" x14ac:dyDescent="0.4">
      <c r="A118" s="1" t="s">
        <v>173</v>
      </c>
      <c r="B118" t="s">
        <v>18</v>
      </c>
      <c r="F118" s="307">
        <v>610188</v>
      </c>
    </row>
    <row r="119" spans="1:6" ht="18" customHeight="1" x14ac:dyDescent="0.4">
      <c r="A119" s="1" t="s">
        <v>174</v>
      </c>
      <c r="B119" s="95" t="s">
        <v>19</v>
      </c>
      <c r="F119" s="308">
        <f>SUM(F117:F118)</f>
        <v>54328567</v>
      </c>
    </row>
    <row r="120" spans="1:6" ht="18" customHeight="1" x14ac:dyDescent="0.4">
      <c r="A120" s="1"/>
      <c r="B120" s="95"/>
    </row>
    <row r="121" spans="1:6" ht="18" customHeight="1" x14ac:dyDescent="0.4">
      <c r="A121" s="1" t="s">
        <v>167</v>
      </c>
      <c r="B121" s="95" t="s">
        <v>36</v>
      </c>
      <c r="F121" s="307">
        <v>50824294</v>
      </c>
    </row>
    <row r="122" spans="1:6" ht="18" customHeight="1" x14ac:dyDescent="0.4">
      <c r="A122" s="1"/>
    </row>
    <row r="123" spans="1:6" ht="18" customHeight="1" x14ac:dyDescent="0.4">
      <c r="A123" s="1" t="s">
        <v>175</v>
      </c>
      <c r="B123" s="95" t="s">
        <v>20</v>
      </c>
      <c r="F123" s="307">
        <f>F119-F121</f>
        <v>3504273</v>
      </c>
    </row>
    <row r="124" spans="1:6" ht="18" customHeight="1" x14ac:dyDescent="0.4">
      <c r="A124" s="1"/>
    </row>
    <row r="125" spans="1:6" ht="18" customHeight="1" x14ac:dyDescent="0.4">
      <c r="A125" s="1" t="s">
        <v>176</v>
      </c>
      <c r="B125" s="95" t="s">
        <v>21</v>
      </c>
      <c r="F125" s="307">
        <v>606916</v>
      </c>
    </row>
    <row r="126" spans="1:6" ht="18" customHeight="1" x14ac:dyDescent="0.4">
      <c r="A126" s="1"/>
    </row>
    <row r="127" spans="1:6" ht="18" customHeight="1" x14ac:dyDescent="0.4">
      <c r="A127" s="1" t="s">
        <v>177</v>
      </c>
      <c r="B127" s="95" t="s">
        <v>22</v>
      </c>
      <c r="F127" s="307">
        <f>F123+F125</f>
        <v>4111189</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21816.437724441508</v>
      </c>
      <c r="G141" s="109">
        <f t="shared" si="14"/>
        <v>34401.258193574897</v>
      </c>
      <c r="H141" s="109">
        <f t="shared" si="14"/>
        <v>838445.64077634446</v>
      </c>
      <c r="I141" s="109">
        <f t="shared" si="14"/>
        <v>746961.09784264478</v>
      </c>
      <c r="J141" s="109">
        <f t="shared" si="14"/>
        <v>272175</v>
      </c>
      <c r="K141" s="109">
        <f t="shared" si="14"/>
        <v>1313231.7386189892</v>
      </c>
    </row>
    <row r="142" spans="1:11" ht="18" customHeight="1" x14ac:dyDescent="0.4">
      <c r="A142" s="1" t="s">
        <v>142</v>
      </c>
      <c r="B142" s="95" t="s">
        <v>65</v>
      </c>
      <c r="F142" s="109">
        <f t="shared" ref="F142:K142" si="15">F49</f>
        <v>1813.9212500000001</v>
      </c>
      <c r="G142" s="109">
        <f t="shared" si="15"/>
        <v>4002</v>
      </c>
      <c r="H142" s="109">
        <f t="shared" si="15"/>
        <v>93655.639686740004</v>
      </c>
      <c r="I142" s="109">
        <f t="shared" si="15"/>
        <v>0</v>
      </c>
      <c r="J142" s="109">
        <f t="shared" si="15"/>
        <v>923.42252000000008</v>
      </c>
      <c r="K142" s="109">
        <f t="shared" si="15"/>
        <v>92732.217166740011</v>
      </c>
    </row>
    <row r="143" spans="1:11" ht="18" customHeight="1" x14ac:dyDescent="0.4">
      <c r="A143" s="1" t="s">
        <v>144</v>
      </c>
      <c r="B143" s="95" t="s">
        <v>66</v>
      </c>
      <c r="F143" s="109">
        <f t="shared" ref="F143:K143" si="16">F64</f>
        <v>0</v>
      </c>
      <c r="G143" s="109">
        <f t="shared" si="16"/>
        <v>6175.3508000000002</v>
      </c>
      <c r="H143" s="109">
        <f t="shared" si="16"/>
        <v>858137.13149541407</v>
      </c>
      <c r="I143" s="109">
        <f t="shared" si="16"/>
        <v>0</v>
      </c>
      <c r="J143" s="109">
        <f t="shared" si="16"/>
        <v>0</v>
      </c>
      <c r="K143" s="109">
        <f t="shared" si="16"/>
        <v>858137.13149541407</v>
      </c>
    </row>
    <row r="144" spans="1:11" ht="18" customHeight="1" x14ac:dyDescent="0.4">
      <c r="A144" s="1" t="s">
        <v>146</v>
      </c>
      <c r="B144" s="95" t="s">
        <v>67</v>
      </c>
      <c r="F144" s="109">
        <f t="shared" ref="F144:K144" si="17">F74</f>
        <v>152</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146.59701196183414</v>
      </c>
      <c r="G145" s="109">
        <f t="shared" si="18"/>
        <v>0</v>
      </c>
      <c r="H145" s="109">
        <f t="shared" si="18"/>
        <v>65146.057394275122</v>
      </c>
      <c r="I145" s="109">
        <f t="shared" si="18"/>
        <v>0</v>
      </c>
      <c r="J145" s="109">
        <f t="shared" si="18"/>
        <v>0</v>
      </c>
      <c r="K145" s="109">
        <f t="shared" si="18"/>
        <v>65146.057394275122</v>
      </c>
    </row>
    <row r="146" spans="1:11" ht="18" customHeight="1" x14ac:dyDescent="0.4">
      <c r="A146" s="1" t="s">
        <v>150</v>
      </c>
      <c r="B146" s="95" t="s">
        <v>69</v>
      </c>
      <c r="F146" s="109">
        <f t="shared" ref="F146:K146" si="19">F98</f>
        <v>601.47547000000009</v>
      </c>
      <c r="G146" s="109">
        <f t="shared" si="19"/>
        <v>0</v>
      </c>
      <c r="H146" s="109">
        <f t="shared" si="19"/>
        <v>42344.284538799999</v>
      </c>
      <c r="I146" s="109">
        <f t="shared" si="19"/>
        <v>38087.42163652568</v>
      </c>
      <c r="J146" s="109">
        <f t="shared" si="19"/>
        <v>144.11604</v>
      </c>
      <c r="K146" s="109">
        <f t="shared" si="19"/>
        <v>80287.590135325678</v>
      </c>
    </row>
    <row r="147" spans="1:11" ht="18" customHeight="1" x14ac:dyDescent="0.4">
      <c r="A147" s="1" t="s">
        <v>153</v>
      </c>
      <c r="B147" s="95" t="s">
        <v>61</v>
      </c>
      <c r="F147" s="310">
        <f t="shared" ref="F147:K147" si="20">F108</f>
        <v>391.94579163910726</v>
      </c>
      <c r="G147" s="310">
        <f t="shared" si="20"/>
        <v>0</v>
      </c>
      <c r="H147" s="310">
        <f t="shared" si="20"/>
        <v>23116.942629834452</v>
      </c>
      <c r="I147" s="310">
        <f t="shared" si="20"/>
        <v>20793.000766918405</v>
      </c>
      <c r="J147" s="310">
        <f t="shared" si="20"/>
        <v>0</v>
      </c>
      <c r="K147" s="310">
        <f t="shared" si="20"/>
        <v>43909.94339675286</v>
      </c>
    </row>
    <row r="148" spans="1:11" ht="18" customHeight="1" x14ac:dyDescent="0.4">
      <c r="A148" s="1" t="s">
        <v>155</v>
      </c>
      <c r="B148" s="95" t="s">
        <v>70</v>
      </c>
      <c r="F148" s="110" t="s">
        <v>73</v>
      </c>
      <c r="G148" s="110" t="s">
        <v>73</v>
      </c>
      <c r="H148" s="111" t="s">
        <v>73</v>
      </c>
      <c r="I148" s="111" t="s">
        <v>73</v>
      </c>
      <c r="J148" s="111" t="s">
        <v>73</v>
      </c>
      <c r="K148" s="106">
        <f>F111</f>
        <v>551775.56000000006</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0</v>
      </c>
      <c r="I150" s="310">
        <f>I18</f>
        <v>0</v>
      </c>
      <c r="J150" s="310">
        <f>J18</f>
        <v>0</v>
      </c>
      <c r="K150" s="310">
        <f>K18</f>
        <v>0</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24922.377248042452</v>
      </c>
      <c r="G152" s="114">
        <f t="shared" si="22"/>
        <v>44578.608993574897</v>
      </c>
      <c r="H152" s="114">
        <f t="shared" si="22"/>
        <v>1920845.6965214079</v>
      </c>
      <c r="I152" s="114">
        <f t="shared" si="22"/>
        <v>805841.52024608885</v>
      </c>
      <c r="J152" s="114">
        <f t="shared" si="22"/>
        <v>273242.53856000002</v>
      </c>
      <c r="K152" s="114">
        <f t="shared" si="22"/>
        <v>3005220.2382074967</v>
      </c>
    </row>
    <row r="154" spans="1:11" ht="18" customHeight="1" x14ac:dyDescent="0.4">
      <c r="A154" s="98" t="s">
        <v>168</v>
      </c>
      <c r="B154" s="95" t="s">
        <v>28</v>
      </c>
      <c r="F154" s="318">
        <f>K152/F121</f>
        <v>5.9129601253437906E-2</v>
      </c>
    </row>
    <row r="155" spans="1:11" ht="18" customHeight="1" x14ac:dyDescent="0.4">
      <c r="A155" s="98" t="s">
        <v>169</v>
      </c>
      <c r="B155" s="95" t="s">
        <v>72</v>
      </c>
      <c r="F155" s="318">
        <f>K152/F127</f>
        <v>0.73098566818686683</v>
      </c>
      <c r="G155" s="95"/>
    </row>
    <row r="156" spans="1:11" ht="18" customHeight="1" x14ac:dyDescent="0.4">
      <c r="G156" s="95"/>
    </row>
  </sheetData>
  <mergeCells count="35">
    <mergeCell ref="B30:D30"/>
    <mergeCell ref="B54:D54"/>
    <mergeCell ref="B45:D45"/>
    <mergeCell ref="B47:D47"/>
    <mergeCell ref="B34:D34"/>
    <mergeCell ref="B41:C41"/>
    <mergeCell ref="B44:D44"/>
    <mergeCell ref="B13:H13"/>
    <mergeCell ref="C5:G5"/>
    <mergeCell ref="C6:G6"/>
    <mergeCell ref="C7:G7"/>
    <mergeCell ref="C11:G11"/>
    <mergeCell ref="C9:G9"/>
    <mergeCell ref="C10:G10"/>
    <mergeCell ref="B90:C90"/>
    <mergeCell ref="B53:D53"/>
    <mergeCell ref="B55:D55"/>
    <mergeCell ref="B56:D56"/>
    <mergeCell ref="B59:D59"/>
    <mergeCell ref="D2:H2"/>
    <mergeCell ref="B46:D46"/>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1"/>
  <dimension ref="A1:K156"/>
  <sheetViews>
    <sheetView showGridLines="0" view="pageBreakPreview" topLeftCell="A133" zoomScale="80" zoomScaleNormal="50" zoomScaleSheetLayoutView="80" workbookViewId="0">
      <selection activeCell="I111" sqref="I111"/>
    </sheetView>
  </sheetViews>
  <sheetFormatPr defaultColWidth="8.71875" defaultRowHeight="18" customHeight="1" x14ac:dyDescent="0.4"/>
  <cols>
    <col min="1" max="1" width="8.2773437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196</v>
      </c>
      <c r="D5" s="666"/>
      <c r="E5" s="666"/>
      <c r="F5" s="666"/>
      <c r="G5" s="667"/>
    </row>
    <row r="6" spans="1:11" ht="18" customHeight="1" x14ac:dyDescent="0.4">
      <c r="B6" s="1" t="s">
        <v>3</v>
      </c>
      <c r="C6" s="683">
        <v>4000</v>
      </c>
      <c r="D6" s="684"/>
      <c r="E6" s="684"/>
      <c r="F6" s="684"/>
      <c r="G6" s="685"/>
    </row>
    <row r="7" spans="1:11" ht="18" customHeight="1" x14ac:dyDescent="0.4">
      <c r="B7" s="1" t="s">
        <v>4</v>
      </c>
      <c r="C7" s="686">
        <v>2500</v>
      </c>
      <c r="D7" s="687"/>
      <c r="E7" s="687"/>
      <c r="F7" s="687"/>
      <c r="G7" s="688"/>
    </row>
    <row r="9" spans="1:11" ht="18" customHeight="1" x14ac:dyDescent="0.4">
      <c r="B9" s="1" t="s">
        <v>1</v>
      </c>
      <c r="C9" s="731" t="s">
        <v>845</v>
      </c>
      <c r="D9" s="666"/>
      <c r="E9" s="666"/>
      <c r="F9" s="666"/>
      <c r="G9" s="667"/>
    </row>
    <row r="10" spans="1:11" ht="18" customHeight="1" x14ac:dyDescent="0.4">
      <c r="B10" s="1" t="s">
        <v>2</v>
      </c>
      <c r="C10" s="733" t="s">
        <v>846</v>
      </c>
      <c r="D10" s="661"/>
      <c r="E10" s="661"/>
      <c r="F10" s="661"/>
      <c r="G10" s="662"/>
    </row>
    <row r="11" spans="1:11" ht="18" customHeight="1" x14ac:dyDescent="0.4">
      <c r="B11" s="1" t="s">
        <v>32</v>
      </c>
      <c r="C11" s="682" t="s">
        <v>847</v>
      </c>
      <c r="D11" s="664"/>
      <c r="E11" s="664"/>
      <c r="F11" s="664"/>
      <c r="G11" s="66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c r="I18" s="115">
        <v>0</v>
      </c>
      <c r="J18" s="307"/>
      <c r="K18" s="308">
        <f>(H18+I18)-J18</f>
        <v>0</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375</v>
      </c>
      <c r="G21" s="306">
        <v>37769</v>
      </c>
      <c r="H21" s="319">
        <v>74838.196521022139</v>
      </c>
      <c r="I21" s="115">
        <v>63028.729110004839</v>
      </c>
      <c r="J21" s="319">
        <v>0</v>
      </c>
      <c r="K21" s="308">
        <v>137866.92563102697</v>
      </c>
    </row>
    <row r="22" spans="1:11" ht="18" customHeight="1" x14ac:dyDescent="0.4">
      <c r="A22" s="1" t="s">
        <v>76</v>
      </c>
      <c r="B22" t="s">
        <v>6</v>
      </c>
      <c r="F22" s="306">
        <v>0</v>
      </c>
      <c r="G22" s="306">
        <v>0</v>
      </c>
      <c r="H22" s="319">
        <v>0</v>
      </c>
      <c r="I22" s="115">
        <v>0</v>
      </c>
      <c r="J22" s="319">
        <v>0</v>
      </c>
      <c r="K22" s="308">
        <v>0</v>
      </c>
    </row>
    <row r="23" spans="1:11" ht="18" customHeight="1" x14ac:dyDescent="0.4">
      <c r="A23" s="1" t="s">
        <v>77</v>
      </c>
      <c r="B23" t="s">
        <v>43</v>
      </c>
      <c r="F23" s="306">
        <v>0</v>
      </c>
      <c r="G23" s="306">
        <v>0</v>
      </c>
      <c r="H23" s="319">
        <v>0</v>
      </c>
      <c r="I23" s="115">
        <v>0</v>
      </c>
      <c r="J23" s="319">
        <v>0</v>
      </c>
      <c r="K23" s="308">
        <v>0</v>
      </c>
    </row>
    <row r="24" spans="1:11" ht="18" customHeight="1" x14ac:dyDescent="0.4">
      <c r="A24" s="1" t="s">
        <v>78</v>
      </c>
      <c r="B24" t="s">
        <v>44</v>
      </c>
      <c r="F24" s="306">
        <v>0</v>
      </c>
      <c r="G24" s="306">
        <v>0</v>
      </c>
      <c r="H24" s="319">
        <v>0</v>
      </c>
      <c r="I24" s="115">
        <v>0</v>
      </c>
      <c r="J24" s="319">
        <v>0</v>
      </c>
      <c r="K24" s="308">
        <v>0</v>
      </c>
    </row>
    <row r="25" spans="1:11" ht="18" customHeight="1" x14ac:dyDescent="0.4">
      <c r="A25" s="1" t="s">
        <v>79</v>
      </c>
      <c r="B25" t="s">
        <v>5</v>
      </c>
      <c r="F25" s="306">
        <v>0</v>
      </c>
      <c r="G25" s="306">
        <v>0</v>
      </c>
      <c r="H25" s="319">
        <v>0</v>
      </c>
      <c r="I25" s="115">
        <v>0</v>
      </c>
      <c r="J25" s="319">
        <v>0</v>
      </c>
      <c r="K25" s="308">
        <v>0</v>
      </c>
    </row>
    <row r="26" spans="1:11" ht="18" customHeight="1" x14ac:dyDescent="0.4">
      <c r="A26" s="1" t="s">
        <v>80</v>
      </c>
      <c r="B26" t="s">
        <v>45</v>
      </c>
      <c r="F26" s="306">
        <v>0</v>
      </c>
      <c r="G26" s="306">
        <v>0</v>
      </c>
      <c r="H26" s="319">
        <v>0</v>
      </c>
      <c r="I26" s="115">
        <v>0</v>
      </c>
      <c r="J26" s="319">
        <v>0</v>
      </c>
      <c r="K26" s="308">
        <v>0</v>
      </c>
    </row>
    <row r="27" spans="1:11" ht="18" customHeight="1" x14ac:dyDescent="0.4">
      <c r="A27" s="1" t="s">
        <v>81</v>
      </c>
      <c r="B27" t="s">
        <v>455</v>
      </c>
      <c r="F27" s="306">
        <v>0</v>
      </c>
      <c r="G27" s="306">
        <v>0</v>
      </c>
      <c r="H27" s="319">
        <v>215944.02</v>
      </c>
      <c r="I27" s="115">
        <v>181868.05364399997</v>
      </c>
      <c r="J27" s="319">
        <v>12854</v>
      </c>
      <c r="K27" s="308">
        <v>384958.07364399999</v>
      </c>
    </row>
    <row r="28" spans="1:11" ht="18" customHeight="1" x14ac:dyDescent="0.4">
      <c r="A28" s="1" t="s">
        <v>82</v>
      </c>
      <c r="B28" t="s">
        <v>47</v>
      </c>
      <c r="F28" s="306">
        <v>0</v>
      </c>
      <c r="G28" s="306">
        <v>0</v>
      </c>
      <c r="H28" s="319">
        <v>0</v>
      </c>
      <c r="I28" s="115">
        <v>0</v>
      </c>
      <c r="J28" s="319">
        <v>0</v>
      </c>
      <c r="K28" s="308">
        <v>0</v>
      </c>
    </row>
    <row r="29" spans="1:11" ht="18" customHeight="1" x14ac:dyDescent="0.4">
      <c r="A29" s="1" t="s">
        <v>83</v>
      </c>
      <c r="B29" t="s">
        <v>48</v>
      </c>
      <c r="F29" s="306">
        <v>0</v>
      </c>
      <c r="G29" s="306">
        <v>0</v>
      </c>
      <c r="H29" s="319">
        <v>0</v>
      </c>
      <c r="I29" s="115">
        <v>0</v>
      </c>
      <c r="J29" s="319">
        <v>0</v>
      </c>
      <c r="K29" s="308">
        <v>0</v>
      </c>
    </row>
    <row r="30" spans="1:11" ht="18" customHeight="1" x14ac:dyDescent="0.4">
      <c r="A30" s="1" t="s">
        <v>84</v>
      </c>
      <c r="B30" s="652" t="s">
        <v>407</v>
      </c>
      <c r="C30" s="786" t="e">
        <v>#N/A</v>
      </c>
      <c r="D30" s="787" t="e">
        <v>#N/A</v>
      </c>
      <c r="F30" s="306">
        <v>325</v>
      </c>
      <c r="G30" s="306">
        <v>3250</v>
      </c>
      <c r="H30" s="319">
        <v>57021.389949999997</v>
      </c>
      <c r="I30" s="115">
        <v>48023.414615889997</v>
      </c>
      <c r="J30" s="319">
        <v>0</v>
      </c>
      <c r="K30" s="308">
        <v>105044.80456588999</v>
      </c>
    </row>
    <row r="31" spans="1:11" ht="18" customHeight="1" x14ac:dyDescent="0.4">
      <c r="A31" s="1" t="s">
        <v>133</v>
      </c>
      <c r="B31" s="652" t="s">
        <v>405</v>
      </c>
      <c r="C31" s="786" t="e">
        <v>#N/A</v>
      </c>
      <c r="D31" s="787" t="e">
        <v>#N/A</v>
      </c>
      <c r="F31" s="306">
        <v>2187</v>
      </c>
      <c r="G31" s="306">
        <v>449</v>
      </c>
      <c r="H31" s="319">
        <v>88024.245012956264</v>
      </c>
      <c r="I31" s="115">
        <v>74134.019149911765</v>
      </c>
      <c r="J31" s="319">
        <v>0</v>
      </c>
      <c r="K31" s="308">
        <v>162158.26416286803</v>
      </c>
    </row>
    <row r="32" spans="1:11" ht="18" customHeight="1" x14ac:dyDescent="0.4">
      <c r="A32" s="1" t="s">
        <v>134</v>
      </c>
      <c r="B32" s="652" t="s">
        <v>406</v>
      </c>
      <c r="C32" s="786" t="e">
        <v>#N/A</v>
      </c>
      <c r="D32" s="787" t="e">
        <v>#N/A</v>
      </c>
      <c r="F32" s="306">
        <v>14689.47918</v>
      </c>
      <c r="G32" s="306">
        <v>4295</v>
      </c>
      <c r="H32" s="319">
        <v>400332.46813639998</v>
      </c>
      <c r="I32" s="115">
        <v>337160.00466447603</v>
      </c>
      <c r="J32" s="319">
        <v>0</v>
      </c>
      <c r="K32" s="308">
        <v>737492.47280087601</v>
      </c>
    </row>
    <row r="33" spans="1:11" ht="18" customHeight="1" x14ac:dyDescent="0.4">
      <c r="A33" s="1" t="s">
        <v>135</v>
      </c>
      <c r="B33" s="652" t="s">
        <v>533</v>
      </c>
      <c r="C33" s="786" t="e">
        <v>#N/A</v>
      </c>
      <c r="D33" s="787" t="e">
        <v>#N/A</v>
      </c>
      <c r="F33" s="306">
        <v>1329</v>
      </c>
      <c r="G33" s="306">
        <v>1705</v>
      </c>
      <c r="H33" s="319">
        <v>56841.75</v>
      </c>
      <c r="I33" s="115">
        <v>47872.121849999996</v>
      </c>
      <c r="J33" s="319">
        <v>0</v>
      </c>
      <c r="K33" s="308">
        <v>104713.87185</v>
      </c>
    </row>
    <row r="34" spans="1:11" ht="18" customHeight="1" x14ac:dyDescent="0.4">
      <c r="A34" s="1" t="s">
        <v>136</v>
      </c>
      <c r="B34" s="630"/>
      <c r="C34" s="631"/>
      <c r="D34" s="632"/>
      <c r="F34" s="306">
        <v>0</v>
      </c>
      <c r="G34" s="306">
        <v>0</v>
      </c>
      <c r="H34" s="319">
        <v>0</v>
      </c>
      <c r="I34" s="115">
        <v>0</v>
      </c>
      <c r="J34" s="319">
        <v>0</v>
      </c>
      <c r="K34" s="308">
        <v>0</v>
      </c>
    </row>
    <row r="35" spans="1:11" ht="18" customHeight="1" x14ac:dyDescent="0.4">
      <c r="K35" s="397"/>
    </row>
    <row r="36" spans="1:11" ht="18" customHeight="1" x14ac:dyDescent="0.4">
      <c r="A36" s="98" t="s">
        <v>137</v>
      </c>
      <c r="B36" s="95" t="s">
        <v>138</v>
      </c>
      <c r="E36" s="95" t="s">
        <v>7</v>
      </c>
      <c r="F36" s="310">
        <f t="shared" ref="F36:K36" si="0">SUM(F21:F34)</f>
        <v>18905.479180000002</v>
      </c>
      <c r="G36" s="310">
        <f t="shared" si="0"/>
        <v>47468</v>
      </c>
      <c r="H36" s="310">
        <f t="shared" si="0"/>
        <v>893002.06962037832</v>
      </c>
      <c r="I36" s="308">
        <f t="shared" si="0"/>
        <v>752086.34303428256</v>
      </c>
      <c r="J36" s="308">
        <f t="shared" si="0"/>
        <v>12854</v>
      </c>
      <c r="K36" s="308">
        <f t="shared" si="0"/>
        <v>1632234.4126546609</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5606.74</v>
      </c>
      <c r="G40" s="306">
        <v>105</v>
      </c>
      <c r="H40" s="319">
        <v>385185.02</v>
      </c>
      <c r="I40" s="115">
        <v>324402.823844</v>
      </c>
      <c r="J40" s="319">
        <v>0</v>
      </c>
      <c r="K40" s="308">
        <v>709587.84384400002</v>
      </c>
    </row>
    <row r="41" spans="1:11" ht="18" customHeight="1" x14ac:dyDescent="0.4">
      <c r="A41" s="1" t="s">
        <v>88</v>
      </c>
      <c r="B41" s="635" t="s">
        <v>50</v>
      </c>
      <c r="C41" s="636"/>
      <c r="F41" s="306">
        <v>85</v>
      </c>
      <c r="G41" s="306">
        <v>236</v>
      </c>
      <c r="H41" s="319">
        <v>2363.3853036426522</v>
      </c>
      <c r="I41" s="115">
        <v>1990.4431027278415</v>
      </c>
      <c r="J41" s="319">
        <v>0</v>
      </c>
      <c r="K41" s="308">
        <v>4353.8284063704941</v>
      </c>
    </row>
    <row r="42" spans="1:11" ht="18" customHeight="1" x14ac:dyDescent="0.4">
      <c r="A42" s="1" t="s">
        <v>89</v>
      </c>
      <c r="B42" s="94" t="s">
        <v>11</v>
      </c>
      <c r="F42" s="306">
        <v>1174.6594594594594</v>
      </c>
      <c r="G42" s="306">
        <v>108</v>
      </c>
      <c r="H42" s="319">
        <v>51929.973646708131</v>
      </c>
      <c r="I42" s="115">
        <v>43735.423805257582</v>
      </c>
      <c r="J42" s="319">
        <v>0</v>
      </c>
      <c r="K42" s="308">
        <v>95665.39745196572</v>
      </c>
    </row>
    <row r="43" spans="1:11" ht="18" customHeight="1" x14ac:dyDescent="0.4">
      <c r="A43" s="1" t="s">
        <v>90</v>
      </c>
      <c r="B43" s="94" t="s">
        <v>10</v>
      </c>
      <c r="F43" s="306">
        <v>0</v>
      </c>
      <c r="G43" s="306">
        <v>0</v>
      </c>
      <c r="H43" s="319">
        <v>0</v>
      </c>
      <c r="I43" s="115">
        <v>0</v>
      </c>
      <c r="J43" s="319">
        <v>0</v>
      </c>
      <c r="K43" s="308">
        <v>0</v>
      </c>
    </row>
    <row r="44" spans="1:11" ht="18" customHeight="1" x14ac:dyDescent="0.4">
      <c r="A44" s="1" t="s">
        <v>91</v>
      </c>
      <c r="B44" s="652" t="s">
        <v>408</v>
      </c>
      <c r="C44" s="786" t="e">
        <v>#N/A</v>
      </c>
      <c r="D44" s="787" t="e">
        <v>#N/A</v>
      </c>
      <c r="F44" s="306">
        <v>1103.1263182563864</v>
      </c>
      <c r="G44" s="306">
        <v>2087.9847668150928</v>
      </c>
      <c r="H44" s="319">
        <v>38308.354793106853</v>
      </c>
      <c r="I44" s="115">
        <v>32263.296406754591</v>
      </c>
      <c r="J44" s="319">
        <v>0</v>
      </c>
      <c r="K44" s="308">
        <v>70571.651199861444</v>
      </c>
    </row>
    <row r="45" spans="1:11" ht="18" customHeight="1" x14ac:dyDescent="0.4">
      <c r="A45" s="1" t="s">
        <v>139</v>
      </c>
      <c r="B45" s="652" t="s">
        <v>484</v>
      </c>
      <c r="C45" s="786" t="e">
        <v>#N/A</v>
      </c>
      <c r="D45" s="787" t="e">
        <v>#N/A</v>
      </c>
      <c r="F45" s="306">
        <v>12023.95</v>
      </c>
      <c r="G45" s="306">
        <v>2074</v>
      </c>
      <c r="H45" s="319">
        <v>764744.93</v>
      </c>
      <c r="I45" s="115">
        <v>644068.18004600005</v>
      </c>
      <c r="J45" s="319">
        <v>728247.57</v>
      </c>
      <c r="K45" s="308">
        <v>680565.54004600027</v>
      </c>
    </row>
    <row r="46" spans="1:11" ht="18" customHeight="1" x14ac:dyDescent="0.4">
      <c r="A46" s="1" t="s">
        <v>140</v>
      </c>
      <c r="B46" s="652" t="s">
        <v>485</v>
      </c>
      <c r="C46" s="786" t="e">
        <v>#N/A</v>
      </c>
      <c r="D46" s="787" t="e">
        <v>#N/A</v>
      </c>
      <c r="F46" s="306">
        <v>464</v>
      </c>
      <c r="G46" s="306">
        <v>1303</v>
      </c>
      <c r="H46" s="319">
        <v>72847.536640000006</v>
      </c>
      <c r="I46" s="115">
        <v>61352.195358208002</v>
      </c>
      <c r="J46" s="319">
        <v>0</v>
      </c>
      <c r="K46" s="308">
        <v>134199.73199820801</v>
      </c>
    </row>
    <row r="47" spans="1:11" ht="18" customHeight="1" x14ac:dyDescent="0.4">
      <c r="A47" s="1" t="s">
        <v>141</v>
      </c>
      <c r="B47" s="630"/>
      <c r="C47" s="631"/>
      <c r="D47" s="632"/>
      <c r="F47" s="306">
        <v>0</v>
      </c>
      <c r="G47" s="306">
        <v>0</v>
      </c>
      <c r="H47" s="319">
        <v>0</v>
      </c>
      <c r="I47" s="115">
        <v>0</v>
      </c>
      <c r="J47" s="319">
        <v>0</v>
      </c>
      <c r="K47" s="308">
        <v>0</v>
      </c>
    </row>
    <row r="49" spans="1:11" ht="18" customHeight="1" x14ac:dyDescent="0.4">
      <c r="A49" s="98" t="s">
        <v>142</v>
      </c>
      <c r="B49" s="95" t="s">
        <v>143</v>
      </c>
      <c r="E49" s="95" t="s">
        <v>7</v>
      </c>
      <c r="F49" s="312">
        <f t="shared" ref="F49:K49" si="1">SUM(F40:F47)</f>
        <v>20457.475777715845</v>
      </c>
      <c r="G49" s="312">
        <f t="shared" si="1"/>
        <v>5913.9847668150924</v>
      </c>
      <c r="H49" s="308">
        <f t="shared" si="1"/>
        <v>1315379.2003834578</v>
      </c>
      <c r="I49" s="308">
        <f t="shared" si="1"/>
        <v>1107812.3625629479</v>
      </c>
      <c r="J49" s="308">
        <f t="shared" si="1"/>
        <v>728247.57</v>
      </c>
      <c r="K49" s="308">
        <f t="shared" si="1"/>
        <v>1694943.9929464059</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483" t="s">
        <v>319</v>
      </c>
      <c r="C53" s="551"/>
      <c r="D53" s="552"/>
      <c r="F53" s="306">
        <v>3132.8900000000003</v>
      </c>
      <c r="G53" s="306">
        <v>1467</v>
      </c>
      <c r="H53" s="319">
        <v>225086.31</v>
      </c>
      <c r="I53" s="115">
        <v>189567.690282</v>
      </c>
      <c r="J53" s="319">
        <v>111414.1</v>
      </c>
      <c r="K53" s="308">
        <v>303239.90028199996</v>
      </c>
    </row>
    <row r="54" spans="1:11" ht="18" customHeight="1" x14ac:dyDescent="0.4">
      <c r="A54" s="1" t="s">
        <v>93</v>
      </c>
      <c r="B54" s="483" t="s">
        <v>848</v>
      </c>
      <c r="C54" s="551"/>
      <c r="D54" s="552"/>
      <c r="F54" s="306">
        <v>10492.82</v>
      </c>
      <c r="G54" s="306">
        <v>21250</v>
      </c>
      <c r="H54" s="319">
        <v>317600.40999999997</v>
      </c>
      <c r="I54" s="115">
        <v>267483.06530199997</v>
      </c>
      <c r="J54" s="319">
        <v>0</v>
      </c>
      <c r="K54" s="308">
        <v>585083.47530199995</v>
      </c>
    </row>
    <row r="55" spans="1:11" ht="18" customHeight="1" x14ac:dyDescent="0.4">
      <c r="A55" s="1" t="s">
        <v>94</v>
      </c>
      <c r="B55" s="483" t="s">
        <v>653</v>
      </c>
      <c r="C55" s="551"/>
      <c r="D55" s="552"/>
      <c r="F55" s="306">
        <v>10300.01</v>
      </c>
      <c r="G55" s="306">
        <v>5491</v>
      </c>
      <c r="H55" s="319">
        <v>563307.22</v>
      </c>
      <c r="I55" s="115">
        <v>474417.34068399994</v>
      </c>
      <c r="J55" s="319">
        <v>520788.83</v>
      </c>
      <c r="K55" s="308">
        <v>516935.73068399989</v>
      </c>
    </row>
    <row r="56" spans="1:11" ht="18" customHeight="1" x14ac:dyDescent="0.4">
      <c r="A56" s="1" t="s">
        <v>95</v>
      </c>
      <c r="B56" s="483" t="s">
        <v>409</v>
      </c>
      <c r="C56" s="551"/>
      <c r="D56" s="552"/>
      <c r="F56" s="306">
        <v>4461.29</v>
      </c>
      <c r="G56" s="306">
        <v>1029</v>
      </c>
      <c r="H56" s="319">
        <v>264757.39</v>
      </c>
      <c r="I56" s="115">
        <v>222978.67385799999</v>
      </c>
      <c r="J56" s="319">
        <v>214262.98</v>
      </c>
      <c r="K56" s="308">
        <v>273473.083858</v>
      </c>
    </row>
    <row r="57" spans="1:11" ht="18" customHeight="1" x14ac:dyDescent="0.4">
      <c r="A57" s="1" t="s">
        <v>96</v>
      </c>
      <c r="B57" s="483" t="s">
        <v>320</v>
      </c>
      <c r="C57" s="551"/>
      <c r="D57" s="552"/>
      <c r="F57" s="306">
        <v>0</v>
      </c>
      <c r="G57" s="306">
        <v>0</v>
      </c>
      <c r="H57" s="319">
        <v>7904157.9625346102</v>
      </c>
      <c r="I57" s="115">
        <v>6656881.8360466482</v>
      </c>
      <c r="J57" s="319">
        <v>0</v>
      </c>
      <c r="K57" s="308">
        <v>14561039.798581257</v>
      </c>
    </row>
    <row r="58" spans="1:11" ht="18" customHeight="1" x14ac:dyDescent="0.4">
      <c r="A58" s="1" t="s">
        <v>97</v>
      </c>
      <c r="B58" s="483" t="s">
        <v>448</v>
      </c>
      <c r="C58" s="551"/>
      <c r="D58" s="552"/>
      <c r="F58" s="306">
        <v>0</v>
      </c>
      <c r="G58" s="306">
        <v>186</v>
      </c>
      <c r="H58" s="319">
        <v>115555.92</v>
      </c>
      <c r="I58" s="115">
        <v>97321.195823999995</v>
      </c>
      <c r="J58" s="319">
        <v>21326.13</v>
      </c>
      <c r="K58" s="308">
        <v>191550.98582399997</v>
      </c>
    </row>
    <row r="59" spans="1:11" ht="18" customHeight="1" x14ac:dyDescent="0.4">
      <c r="A59" s="1" t="s">
        <v>98</v>
      </c>
      <c r="B59" s="483" t="s">
        <v>486</v>
      </c>
      <c r="C59" s="551"/>
      <c r="D59" s="552"/>
      <c r="F59" s="306">
        <v>22152</v>
      </c>
      <c r="G59" s="306">
        <v>6124</v>
      </c>
      <c r="H59" s="319">
        <v>1265225</v>
      </c>
      <c r="I59" s="115">
        <v>1065572.4949999999</v>
      </c>
      <c r="J59" s="319">
        <v>936139</v>
      </c>
      <c r="K59" s="308">
        <v>1394658.4950000001</v>
      </c>
    </row>
    <row r="60" spans="1:11" ht="18" customHeight="1" x14ac:dyDescent="0.4">
      <c r="A60" s="1" t="s">
        <v>99</v>
      </c>
      <c r="B60" s="483"/>
      <c r="C60" s="551"/>
      <c r="D60" s="552"/>
      <c r="F60" s="306">
        <v>0</v>
      </c>
      <c r="G60" s="306">
        <v>0</v>
      </c>
      <c r="H60" s="319">
        <v>0</v>
      </c>
      <c r="I60" s="115">
        <v>0</v>
      </c>
      <c r="J60" s="319">
        <v>0</v>
      </c>
      <c r="K60" s="308">
        <v>0</v>
      </c>
    </row>
    <row r="61" spans="1:11" ht="18" customHeight="1" x14ac:dyDescent="0.4">
      <c r="A61" s="1" t="s">
        <v>100</v>
      </c>
      <c r="B61" s="483"/>
      <c r="C61" s="551"/>
      <c r="D61" s="552"/>
      <c r="F61" s="306">
        <v>0</v>
      </c>
      <c r="G61" s="306">
        <v>0</v>
      </c>
      <c r="H61" s="319">
        <v>0</v>
      </c>
      <c r="I61" s="115">
        <v>0</v>
      </c>
      <c r="J61" s="319">
        <v>0</v>
      </c>
      <c r="K61" s="308">
        <v>0</v>
      </c>
    </row>
    <row r="62" spans="1:11" ht="18" customHeight="1" x14ac:dyDescent="0.4">
      <c r="A62" s="1" t="s">
        <v>101</v>
      </c>
      <c r="B62" s="483"/>
      <c r="C62" s="551"/>
      <c r="D62" s="552"/>
      <c r="F62" s="306">
        <v>0</v>
      </c>
      <c r="G62" s="306">
        <v>0</v>
      </c>
      <c r="H62" s="319">
        <v>0</v>
      </c>
      <c r="I62" s="115">
        <v>0</v>
      </c>
      <c r="J62" s="319">
        <v>0</v>
      </c>
      <c r="K62" s="308">
        <v>0</v>
      </c>
    </row>
    <row r="63" spans="1:11" ht="18" customHeight="1" x14ac:dyDescent="0.4">
      <c r="A63" s="1"/>
      <c r="I63" s="403"/>
    </row>
    <row r="64" spans="1:11" ht="18" customHeight="1" x14ac:dyDescent="0.4">
      <c r="A64" s="1" t="s">
        <v>144</v>
      </c>
      <c r="B64" s="95" t="s">
        <v>145</v>
      </c>
      <c r="E64" s="95" t="s">
        <v>7</v>
      </c>
      <c r="F64" s="310">
        <f t="shared" ref="F64:K64" si="2">SUM(F53:F62)</f>
        <v>50539.01</v>
      </c>
      <c r="G64" s="310">
        <f t="shared" si="2"/>
        <v>35547</v>
      </c>
      <c r="H64" s="308">
        <f t="shared" si="2"/>
        <v>10655690.21253461</v>
      </c>
      <c r="I64" s="308">
        <f t="shared" si="2"/>
        <v>8974222.2969966475</v>
      </c>
      <c r="J64" s="308">
        <f t="shared" si="2"/>
        <v>1803931.04</v>
      </c>
      <c r="K64" s="308">
        <f t="shared" si="2"/>
        <v>17825981.469531257</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06">
        <v>3041.7548387096772</v>
      </c>
      <c r="G68" s="306">
        <v>0</v>
      </c>
      <c r="H68" s="319">
        <v>287546.18369656923</v>
      </c>
      <c r="I68" s="115">
        <v>242171.3959092506</v>
      </c>
      <c r="J68" s="319">
        <v>0</v>
      </c>
      <c r="K68" s="308">
        <v>529717.57960581989</v>
      </c>
    </row>
    <row r="69" spans="1:11" ht="18" customHeight="1" x14ac:dyDescent="0.4">
      <c r="A69" s="1" t="s">
        <v>104</v>
      </c>
      <c r="B69" s="94" t="s">
        <v>53</v>
      </c>
      <c r="F69" s="306">
        <v>0</v>
      </c>
      <c r="G69" s="306">
        <v>0</v>
      </c>
      <c r="H69" s="319">
        <v>0</v>
      </c>
      <c r="I69" s="115">
        <v>0</v>
      </c>
      <c r="J69" s="319">
        <v>0</v>
      </c>
      <c r="K69" s="308">
        <v>0</v>
      </c>
    </row>
    <row r="70" spans="1:11" ht="18" customHeight="1" x14ac:dyDescent="0.4">
      <c r="A70" s="1" t="s">
        <v>178</v>
      </c>
      <c r="B70" s="400"/>
      <c r="C70" s="401"/>
      <c r="D70" s="402"/>
      <c r="E70" s="95"/>
      <c r="F70" s="306">
        <v>0</v>
      </c>
      <c r="G70" s="306">
        <v>0</v>
      </c>
      <c r="H70" s="319">
        <v>0</v>
      </c>
      <c r="I70" s="115">
        <v>0</v>
      </c>
      <c r="J70" s="319">
        <v>0</v>
      </c>
      <c r="K70" s="308">
        <v>0</v>
      </c>
    </row>
    <row r="71" spans="1:11" ht="18" customHeight="1" x14ac:dyDescent="0.4">
      <c r="A71" s="1" t="s">
        <v>179</v>
      </c>
      <c r="B71" s="400"/>
      <c r="C71" s="401"/>
      <c r="D71" s="402"/>
      <c r="E71" s="95"/>
      <c r="F71" s="306">
        <v>0</v>
      </c>
      <c r="G71" s="306">
        <v>0</v>
      </c>
      <c r="H71" s="319">
        <v>0</v>
      </c>
      <c r="I71" s="115">
        <v>0</v>
      </c>
      <c r="J71" s="319">
        <v>0</v>
      </c>
      <c r="K71" s="308">
        <v>0</v>
      </c>
    </row>
    <row r="72" spans="1:11" ht="18" customHeight="1" x14ac:dyDescent="0.4">
      <c r="A72" s="1" t="s">
        <v>180</v>
      </c>
      <c r="B72" s="406"/>
      <c r="C72" s="407"/>
      <c r="D72" s="408"/>
      <c r="E72" s="95"/>
      <c r="F72" s="306">
        <v>0</v>
      </c>
      <c r="G72" s="306">
        <v>0</v>
      </c>
      <c r="H72" s="319">
        <v>0</v>
      </c>
      <c r="I72" s="115">
        <v>0</v>
      </c>
      <c r="J72" s="319">
        <v>0</v>
      </c>
      <c r="K72" s="308">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3">SUM(F68:F72)</f>
        <v>3041.7548387096772</v>
      </c>
      <c r="G74" s="411">
        <f t="shared" si="3"/>
        <v>0</v>
      </c>
      <c r="H74" s="411">
        <f t="shared" si="3"/>
        <v>287546.18369656923</v>
      </c>
      <c r="I74" s="412">
        <f t="shared" si="3"/>
        <v>242171.3959092506</v>
      </c>
      <c r="J74" s="411">
        <f t="shared" si="3"/>
        <v>0</v>
      </c>
      <c r="K74" s="308">
        <f t="shared" si="3"/>
        <v>529717.57960581989</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286</v>
      </c>
      <c r="G77" s="306">
        <v>28</v>
      </c>
      <c r="H77" s="319">
        <v>45040.311006608281</v>
      </c>
      <c r="I77" s="115">
        <v>37932.949929765491</v>
      </c>
      <c r="J77" s="319">
        <v>0</v>
      </c>
      <c r="K77" s="308">
        <v>82973.260936373772</v>
      </c>
    </row>
    <row r="78" spans="1:11" ht="18" customHeight="1" x14ac:dyDescent="0.4">
      <c r="A78" s="1" t="s">
        <v>108</v>
      </c>
      <c r="B78" s="94" t="s">
        <v>55</v>
      </c>
      <c r="F78" s="306">
        <v>0</v>
      </c>
      <c r="G78" s="306">
        <v>0</v>
      </c>
      <c r="H78" s="319">
        <v>0</v>
      </c>
      <c r="I78" s="115">
        <v>0</v>
      </c>
      <c r="J78" s="319">
        <v>0</v>
      </c>
      <c r="K78" s="308">
        <v>0</v>
      </c>
    </row>
    <row r="79" spans="1:11" ht="18" customHeight="1" x14ac:dyDescent="0.4">
      <c r="A79" s="1" t="s">
        <v>109</v>
      </c>
      <c r="B79" s="94" t="s">
        <v>13</v>
      </c>
      <c r="F79" s="306">
        <v>49</v>
      </c>
      <c r="G79" s="306">
        <v>2025</v>
      </c>
      <c r="H79" s="319">
        <v>29536.497301361916</v>
      </c>
      <c r="I79" s="115">
        <v>24875.638027207006</v>
      </c>
      <c r="J79" s="319">
        <v>0</v>
      </c>
      <c r="K79" s="308">
        <v>54412.135328568926</v>
      </c>
    </row>
    <row r="80" spans="1:11" ht="18" customHeight="1" x14ac:dyDescent="0.4">
      <c r="A80" s="1" t="s">
        <v>110</v>
      </c>
      <c r="B80" s="94" t="s">
        <v>56</v>
      </c>
      <c r="F80" s="306">
        <v>0</v>
      </c>
      <c r="G80" s="306">
        <v>0</v>
      </c>
      <c r="H80" s="319">
        <v>0</v>
      </c>
      <c r="I80" s="115">
        <v>0</v>
      </c>
      <c r="J80" s="319">
        <v>0</v>
      </c>
      <c r="K80" s="308">
        <v>0</v>
      </c>
    </row>
    <row r="81" spans="1:11" ht="18" customHeight="1" x14ac:dyDescent="0.4">
      <c r="A81" s="1"/>
      <c r="K81" s="315"/>
    </row>
    <row r="82" spans="1:11" ht="18" customHeight="1" x14ac:dyDescent="0.4">
      <c r="A82" s="1" t="s">
        <v>148</v>
      </c>
      <c r="B82" s="95" t="s">
        <v>149</v>
      </c>
      <c r="E82" s="95" t="s">
        <v>7</v>
      </c>
      <c r="F82" s="411">
        <f t="shared" ref="F82:K82" si="4">SUM(F77:F80)</f>
        <v>335</v>
      </c>
      <c r="G82" s="411">
        <f t="shared" si="4"/>
        <v>2053</v>
      </c>
      <c r="H82" s="308">
        <f t="shared" si="4"/>
        <v>74576.808307970205</v>
      </c>
      <c r="I82" s="308">
        <f t="shared" si="4"/>
        <v>62808.587956972493</v>
      </c>
      <c r="J82" s="308">
        <f t="shared" si="4"/>
        <v>0</v>
      </c>
      <c r="K82" s="308">
        <f t="shared" si="4"/>
        <v>137385.39626494271</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v>0</v>
      </c>
      <c r="G86" s="306">
        <v>0</v>
      </c>
      <c r="H86" s="319">
        <v>0</v>
      </c>
      <c r="I86" s="115">
        <v>0</v>
      </c>
      <c r="J86" s="319">
        <v>0</v>
      </c>
      <c r="K86" s="308">
        <v>0</v>
      </c>
    </row>
    <row r="87" spans="1:11" ht="18" customHeight="1" x14ac:dyDescent="0.4">
      <c r="A87" s="1" t="s">
        <v>114</v>
      </c>
      <c r="B87" s="94" t="s">
        <v>14</v>
      </c>
      <c r="F87" s="306">
        <v>0</v>
      </c>
      <c r="G87" s="306">
        <v>0</v>
      </c>
      <c r="H87" s="319">
        <v>0</v>
      </c>
      <c r="I87" s="115">
        <v>0</v>
      </c>
      <c r="J87" s="319">
        <v>0</v>
      </c>
      <c r="K87" s="308">
        <v>0</v>
      </c>
    </row>
    <row r="88" spans="1:11" ht="18" customHeight="1" x14ac:dyDescent="0.4">
      <c r="A88" s="1" t="s">
        <v>115</v>
      </c>
      <c r="B88" s="94" t="s">
        <v>116</v>
      </c>
      <c r="F88" s="306">
        <v>0</v>
      </c>
      <c r="G88" s="306">
        <v>0</v>
      </c>
      <c r="H88" s="319">
        <v>0</v>
      </c>
      <c r="I88" s="115">
        <v>0</v>
      </c>
      <c r="J88" s="319">
        <v>0</v>
      </c>
      <c r="K88" s="308">
        <v>0</v>
      </c>
    </row>
    <row r="89" spans="1:11" ht="18" customHeight="1" x14ac:dyDescent="0.4">
      <c r="A89" s="1" t="s">
        <v>117</v>
      </c>
      <c r="B89" s="94" t="s">
        <v>58</v>
      </c>
      <c r="F89" s="306">
        <v>0</v>
      </c>
      <c r="G89" s="306">
        <v>0</v>
      </c>
      <c r="H89" s="319">
        <v>0</v>
      </c>
      <c r="I89" s="115">
        <v>0</v>
      </c>
      <c r="J89" s="319">
        <v>0</v>
      </c>
      <c r="K89" s="308">
        <v>0</v>
      </c>
    </row>
    <row r="90" spans="1:11" ht="18" customHeight="1" x14ac:dyDescent="0.4">
      <c r="A90" s="1" t="s">
        <v>118</v>
      </c>
      <c r="B90" s="635" t="s">
        <v>59</v>
      </c>
      <c r="C90" s="636"/>
      <c r="F90" s="306">
        <v>0</v>
      </c>
      <c r="G90" s="306">
        <v>0</v>
      </c>
      <c r="H90" s="319">
        <v>0</v>
      </c>
      <c r="I90" s="115">
        <v>0</v>
      </c>
      <c r="J90" s="319">
        <v>0</v>
      </c>
      <c r="K90" s="308">
        <v>0</v>
      </c>
    </row>
    <row r="91" spans="1:11" ht="18" customHeight="1" x14ac:dyDescent="0.4">
      <c r="A91" s="1" t="s">
        <v>119</v>
      </c>
      <c r="B91" s="94" t="s">
        <v>60</v>
      </c>
      <c r="F91" s="306">
        <v>773.5</v>
      </c>
      <c r="G91" s="306">
        <v>0</v>
      </c>
      <c r="H91" s="319">
        <v>192665.53792986111</v>
      </c>
      <c r="I91" s="115">
        <v>162262.916044529</v>
      </c>
      <c r="J91" s="319">
        <v>0</v>
      </c>
      <c r="K91" s="308">
        <v>354928.45397439011</v>
      </c>
    </row>
    <row r="92" spans="1:11" ht="18" customHeight="1" x14ac:dyDescent="0.4">
      <c r="A92" s="1" t="s">
        <v>120</v>
      </c>
      <c r="B92" s="94" t="s">
        <v>121</v>
      </c>
      <c r="F92" s="306">
        <v>0</v>
      </c>
      <c r="G92" s="306">
        <v>0</v>
      </c>
      <c r="H92" s="319">
        <v>0</v>
      </c>
      <c r="I92" s="115">
        <v>0</v>
      </c>
      <c r="J92" s="319">
        <v>0</v>
      </c>
      <c r="K92" s="308">
        <v>0</v>
      </c>
    </row>
    <row r="93" spans="1:11" ht="18" customHeight="1" x14ac:dyDescent="0.4">
      <c r="A93" s="1" t="s">
        <v>122</v>
      </c>
      <c r="B93" s="94" t="s">
        <v>123</v>
      </c>
      <c r="F93" s="306">
        <v>0</v>
      </c>
      <c r="G93" s="306">
        <v>0</v>
      </c>
      <c r="H93" s="319">
        <v>0</v>
      </c>
      <c r="I93" s="115">
        <v>0</v>
      </c>
      <c r="J93" s="319">
        <v>0</v>
      </c>
      <c r="K93" s="308">
        <v>0</v>
      </c>
    </row>
    <row r="94" spans="1:11" ht="18" customHeight="1" x14ac:dyDescent="0.4">
      <c r="A94" s="1" t="s">
        <v>124</v>
      </c>
      <c r="B94" s="655"/>
      <c r="C94" s="653"/>
      <c r="D94" s="654"/>
      <c r="F94" s="306">
        <v>0</v>
      </c>
      <c r="G94" s="306">
        <v>0</v>
      </c>
      <c r="H94" s="319">
        <v>0</v>
      </c>
      <c r="I94" s="115">
        <v>0</v>
      </c>
      <c r="J94" s="319">
        <v>0</v>
      </c>
      <c r="K94" s="308">
        <v>0</v>
      </c>
    </row>
    <row r="95" spans="1:11" ht="18" customHeight="1" x14ac:dyDescent="0.4">
      <c r="A95" s="1" t="s">
        <v>125</v>
      </c>
      <c r="B95" s="655"/>
      <c r="C95" s="653"/>
      <c r="D95" s="654"/>
      <c r="F95" s="306">
        <v>0</v>
      </c>
      <c r="G95" s="306">
        <v>0</v>
      </c>
      <c r="H95" s="319">
        <v>0</v>
      </c>
      <c r="I95" s="115">
        <v>0</v>
      </c>
      <c r="J95" s="319">
        <v>0</v>
      </c>
      <c r="K95" s="308">
        <v>0</v>
      </c>
    </row>
    <row r="96" spans="1:11" ht="18" customHeight="1" x14ac:dyDescent="0.4">
      <c r="A96" s="1" t="s">
        <v>126</v>
      </c>
      <c r="B96" s="655"/>
      <c r="C96" s="653"/>
      <c r="D96" s="654"/>
      <c r="F96" s="306">
        <v>0</v>
      </c>
      <c r="G96" s="306">
        <v>0</v>
      </c>
      <c r="H96" s="319">
        <v>0</v>
      </c>
      <c r="I96" s="115">
        <v>0</v>
      </c>
      <c r="J96" s="319">
        <v>0</v>
      </c>
      <c r="K96" s="308">
        <v>0</v>
      </c>
    </row>
    <row r="97" spans="1:11" ht="18" customHeight="1" x14ac:dyDescent="0.4">
      <c r="A97" s="1"/>
      <c r="B97" s="94"/>
    </row>
    <row r="98" spans="1:11" ht="18" customHeight="1" x14ac:dyDescent="0.4">
      <c r="A98" s="98" t="s">
        <v>150</v>
      </c>
      <c r="B98" s="95" t="s">
        <v>151</v>
      </c>
      <c r="E98" s="95" t="s">
        <v>7</v>
      </c>
      <c r="F98" s="310">
        <f t="shared" ref="F98:K98" si="5">SUM(F86:F96)</f>
        <v>773.5</v>
      </c>
      <c r="G98" s="310">
        <f t="shared" si="5"/>
        <v>0</v>
      </c>
      <c r="H98" s="310">
        <f t="shared" si="5"/>
        <v>192665.53792986111</v>
      </c>
      <c r="I98" s="310">
        <f t="shared" si="5"/>
        <v>162262.916044529</v>
      </c>
      <c r="J98" s="310">
        <f t="shared" si="5"/>
        <v>0</v>
      </c>
      <c r="K98" s="310">
        <f t="shared" si="5"/>
        <v>354928.45397439011</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378.21538461538461</v>
      </c>
      <c r="G102" s="306">
        <v>0</v>
      </c>
      <c r="H102" s="319">
        <v>29346.28551688791</v>
      </c>
      <c r="I102" s="115">
        <v>24715.441662322995</v>
      </c>
      <c r="J102" s="319">
        <v>0</v>
      </c>
      <c r="K102" s="308">
        <v>54061.72717921091</v>
      </c>
    </row>
    <row r="103" spans="1:11" ht="18" customHeight="1" x14ac:dyDescent="0.4">
      <c r="A103" s="1" t="s">
        <v>132</v>
      </c>
      <c r="B103" s="635" t="s">
        <v>62</v>
      </c>
      <c r="C103" s="635"/>
      <c r="F103" s="306">
        <v>0</v>
      </c>
      <c r="G103" s="306">
        <v>0</v>
      </c>
      <c r="H103" s="319">
        <v>0</v>
      </c>
      <c r="I103" s="115">
        <v>0</v>
      </c>
      <c r="J103" s="319">
        <v>0</v>
      </c>
      <c r="K103" s="308">
        <v>0</v>
      </c>
    </row>
    <row r="104" spans="1:11" ht="18" customHeight="1" x14ac:dyDescent="0.4">
      <c r="A104" s="1" t="s">
        <v>128</v>
      </c>
      <c r="B104" s="655"/>
      <c r="C104" s="653"/>
      <c r="D104" s="654"/>
      <c r="F104" s="306">
        <v>0</v>
      </c>
      <c r="G104" s="306">
        <v>0</v>
      </c>
      <c r="H104" s="319">
        <v>0</v>
      </c>
      <c r="I104" s="115">
        <v>0</v>
      </c>
      <c r="J104" s="319">
        <v>0</v>
      </c>
      <c r="K104" s="308">
        <v>0</v>
      </c>
    </row>
    <row r="105" spans="1:11" ht="18" customHeight="1" x14ac:dyDescent="0.4">
      <c r="A105" s="1" t="s">
        <v>127</v>
      </c>
      <c r="B105" s="655"/>
      <c r="C105" s="653"/>
      <c r="D105" s="654"/>
      <c r="F105" s="306">
        <v>0</v>
      </c>
      <c r="G105" s="306">
        <v>0</v>
      </c>
      <c r="H105" s="319">
        <v>0</v>
      </c>
      <c r="I105" s="115">
        <v>0</v>
      </c>
      <c r="J105" s="319">
        <v>0</v>
      </c>
      <c r="K105" s="308">
        <v>0</v>
      </c>
    </row>
    <row r="106" spans="1:11" ht="18" customHeight="1" x14ac:dyDescent="0.4">
      <c r="A106" s="1" t="s">
        <v>129</v>
      </c>
      <c r="B106" s="655"/>
      <c r="C106" s="653"/>
      <c r="D106" s="654"/>
      <c r="F106" s="306">
        <v>0</v>
      </c>
      <c r="G106" s="306">
        <v>0</v>
      </c>
      <c r="H106" s="319">
        <v>0</v>
      </c>
      <c r="I106" s="115">
        <v>0</v>
      </c>
      <c r="J106" s="319">
        <v>0</v>
      </c>
      <c r="K106" s="308">
        <v>0</v>
      </c>
    </row>
    <row r="107" spans="1:11" ht="18" customHeight="1" x14ac:dyDescent="0.4">
      <c r="B107" s="95"/>
    </row>
    <row r="108" spans="1:11" ht="18" customHeight="1" x14ac:dyDescent="0.4">
      <c r="A108" s="98" t="s">
        <v>153</v>
      </c>
      <c r="B108" s="95" t="s">
        <v>154</v>
      </c>
      <c r="E108" s="95" t="s">
        <v>7</v>
      </c>
      <c r="F108" s="310">
        <f t="shared" ref="F108:K108" si="6">SUM(F102:F106)</f>
        <v>378.21538461538461</v>
      </c>
      <c r="G108" s="310">
        <f t="shared" si="6"/>
        <v>0</v>
      </c>
      <c r="H108" s="308">
        <f t="shared" si="6"/>
        <v>29346.28551688791</v>
      </c>
      <c r="I108" s="308">
        <f t="shared" si="6"/>
        <v>24715.441662322995</v>
      </c>
      <c r="J108" s="308">
        <f t="shared" si="6"/>
        <v>0</v>
      </c>
      <c r="K108" s="308">
        <f t="shared" si="6"/>
        <v>54061.72717921091</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19">
        <v>4443367</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0.84219999999999995</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217816019</v>
      </c>
    </row>
    <row r="118" spans="1:6" ht="18" customHeight="1" x14ac:dyDescent="0.4">
      <c r="A118" s="1" t="s">
        <v>173</v>
      </c>
      <c r="B118" t="s">
        <v>18</v>
      </c>
      <c r="F118" s="307">
        <v>15727412</v>
      </c>
    </row>
    <row r="119" spans="1:6" ht="18" customHeight="1" x14ac:dyDescent="0.4">
      <c r="A119" s="1" t="s">
        <v>174</v>
      </c>
      <c r="B119" s="95" t="s">
        <v>19</v>
      </c>
      <c r="F119" s="308">
        <v>233543431</v>
      </c>
    </row>
    <row r="120" spans="1:6" ht="18" customHeight="1" x14ac:dyDescent="0.4">
      <c r="A120" s="1"/>
      <c r="B120" s="95"/>
    </row>
    <row r="121" spans="1:6" ht="18" customHeight="1" x14ac:dyDescent="0.4">
      <c r="A121" s="1" t="s">
        <v>167</v>
      </c>
      <c r="B121" s="95" t="s">
        <v>36</v>
      </c>
      <c r="F121" s="307">
        <v>232824428</v>
      </c>
    </row>
    <row r="122" spans="1:6" ht="18" customHeight="1" x14ac:dyDescent="0.4">
      <c r="A122" s="1"/>
    </row>
    <row r="123" spans="1:6" ht="18" customHeight="1" x14ac:dyDescent="0.4">
      <c r="A123" s="1" t="s">
        <v>175</v>
      </c>
      <c r="B123" s="95" t="s">
        <v>20</v>
      </c>
      <c r="F123" s="307">
        <v>719003</v>
      </c>
    </row>
    <row r="124" spans="1:6" ht="18" customHeight="1" x14ac:dyDescent="0.4">
      <c r="A124" s="1"/>
    </row>
    <row r="125" spans="1:6" ht="18" customHeight="1" x14ac:dyDescent="0.4">
      <c r="A125" s="1" t="s">
        <v>176</v>
      </c>
      <c r="B125" s="95" t="s">
        <v>21</v>
      </c>
      <c r="F125" s="307">
        <v>591675</v>
      </c>
    </row>
    <row r="126" spans="1:6" ht="18" customHeight="1" x14ac:dyDescent="0.4">
      <c r="A126" s="1"/>
    </row>
    <row r="127" spans="1:6" ht="18" customHeight="1" x14ac:dyDescent="0.4">
      <c r="A127" s="1" t="s">
        <v>177</v>
      </c>
      <c r="B127" s="95" t="s">
        <v>22</v>
      </c>
      <c r="F127" s="307">
        <v>1310678</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7">SUM(F131:F135)</f>
        <v>0</v>
      </c>
      <c r="G137" s="310">
        <f t="shared" si="7"/>
        <v>0</v>
      </c>
      <c r="H137" s="308">
        <f t="shared" si="7"/>
        <v>0</v>
      </c>
      <c r="I137" s="308">
        <f t="shared" si="7"/>
        <v>0</v>
      </c>
      <c r="J137" s="308">
        <f t="shared" si="7"/>
        <v>0</v>
      </c>
      <c r="K137" s="308">
        <f t="shared" si="7"/>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8">F36</f>
        <v>18905.479180000002</v>
      </c>
      <c r="G141" s="109">
        <f t="shared" si="8"/>
        <v>47468</v>
      </c>
      <c r="H141" s="109">
        <f t="shared" si="8"/>
        <v>893002.06962037832</v>
      </c>
      <c r="I141" s="109">
        <f t="shared" si="8"/>
        <v>752086.34303428256</v>
      </c>
      <c r="J141" s="109">
        <f t="shared" si="8"/>
        <v>12854</v>
      </c>
      <c r="K141" s="109">
        <f t="shared" si="8"/>
        <v>1632234.4126546609</v>
      </c>
    </row>
    <row r="142" spans="1:11" ht="18" customHeight="1" x14ac:dyDescent="0.4">
      <c r="A142" s="1" t="s">
        <v>142</v>
      </c>
      <c r="B142" s="95" t="s">
        <v>65</v>
      </c>
      <c r="F142" s="109">
        <f t="shared" ref="F142:K142" si="9">F49</f>
        <v>20457.475777715845</v>
      </c>
      <c r="G142" s="109">
        <f t="shared" si="9"/>
        <v>5913.9847668150924</v>
      </c>
      <c r="H142" s="109">
        <f t="shared" si="9"/>
        <v>1315379.2003834578</v>
      </c>
      <c r="I142" s="109">
        <f t="shared" si="9"/>
        <v>1107812.3625629479</v>
      </c>
      <c r="J142" s="109">
        <f t="shared" si="9"/>
        <v>728247.57</v>
      </c>
      <c r="K142" s="109">
        <f t="shared" si="9"/>
        <v>1694943.9929464059</v>
      </c>
    </row>
    <row r="143" spans="1:11" ht="18" customHeight="1" x14ac:dyDescent="0.4">
      <c r="A143" s="1" t="s">
        <v>144</v>
      </c>
      <c r="B143" s="95" t="s">
        <v>66</v>
      </c>
      <c r="F143" s="109">
        <f t="shared" ref="F143:K143" si="10">F64</f>
        <v>50539.01</v>
      </c>
      <c r="G143" s="109">
        <f t="shared" si="10"/>
        <v>35547</v>
      </c>
      <c r="H143" s="109">
        <f t="shared" si="10"/>
        <v>10655690.21253461</v>
      </c>
      <c r="I143" s="109">
        <f t="shared" si="10"/>
        <v>8974222.2969966475</v>
      </c>
      <c r="J143" s="109">
        <f t="shared" si="10"/>
        <v>1803931.04</v>
      </c>
      <c r="K143" s="109">
        <f t="shared" si="10"/>
        <v>17825981.469531257</v>
      </c>
    </row>
    <row r="144" spans="1:11" ht="18" customHeight="1" x14ac:dyDescent="0.4">
      <c r="A144" s="1" t="s">
        <v>146</v>
      </c>
      <c r="B144" s="95" t="s">
        <v>67</v>
      </c>
      <c r="F144" s="109">
        <f t="shared" ref="F144:K144" si="11">F74</f>
        <v>3041.7548387096772</v>
      </c>
      <c r="G144" s="109">
        <f t="shared" si="11"/>
        <v>0</v>
      </c>
      <c r="H144" s="109">
        <f t="shared" si="11"/>
        <v>287546.18369656923</v>
      </c>
      <c r="I144" s="109">
        <f t="shared" si="11"/>
        <v>242171.3959092506</v>
      </c>
      <c r="J144" s="109">
        <f t="shared" si="11"/>
        <v>0</v>
      </c>
      <c r="K144" s="109">
        <f t="shared" si="11"/>
        <v>529717.57960581989</v>
      </c>
    </row>
    <row r="145" spans="1:11" ht="18" customHeight="1" x14ac:dyDescent="0.4">
      <c r="A145" s="1" t="s">
        <v>148</v>
      </c>
      <c r="B145" s="95" t="s">
        <v>68</v>
      </c>
      <c r="F145" s="109">
        <f t="shared" ref="F145:K145" si="12">F82</f>
        <v>335</v>
      </c>
      <c r="G145" s="109">
        <f t="shared" si="12"/>
        <v>2053</v>
      </c>
      <c r="H145" s="109">
        <f t="shared" si="12"/>
        <v>74576.808307970205</v>
      </c>
      <c r="I145" s="109">
        <f t="shared" si="12"/>
        <v>62808.587956972493</v>
      </c>
      <c r="J145" s="109">
        <f t="shared" si="12"/>
        <v>0</v>
      </c>
      <c r="K145" s="109">
        <f t="shared" si="12"/>
        <v>137385.39626494271</v>
      </c>
    </row>
    <row r="146" spans="1:11" ht="18" customHeight="1" x14ac:dyDescent="0.4">
      <c r="A146" s="1" t="s">
        <v>150</v>
      </c>
      <c r="B146" s="95" t="s">
        <v>69</v>
      </c>
      <c r="F146" s="109">
        <f t="shared" ref="F146:K146" si="13">F98</f>
        <v>773.5</v>
      </c>
      <c r="G146" s="109">
        <f t="shared" si="13"/>
        <v>0</v>
      </c>
      <c r="H146" s="109">
        <f t="shared" si="13"/>
        <v>192665.53792986111</v>
      </c>
      <c r="I146" s="109">
        <f t="shared" si="13"/>
        <v>162262.916044529</v>
      </c>
      <c r="J146" s="109">
        <f t="shared" si="13"/>
        <v>0</v>
      </c>
      <c r="K146" s="109">
        <f t="shared" si="13"/>
        <v>354928.45397439011</v>
      </c>
    </row>
    <row r="147" spans="1:11" ht="18" customHeight="1" x14ac:dyDescent="0.4">
      <c r="A147" s="1" t="s">
        <v>153</v>
      </c>
      <c r="B147" s="95" t="s">
        <v>61</v>
      </c>
      <c r="F147" s="310">
        <f t="shared" ref="F147:K147" si="14">F108</f>
        <v>378.21538461538461</v>
      </c>
      <c r="G147" s="310">
        <f t="shared" si="14"/>
        <v>0</v>
      </c>
      <c r="H147" s="310">
        <f t="shared" si="14"/>
        <v>29346.28551688791</v>
      </c>
      <c r="I147" s="310">
        <f t="shared" si="14"/>
        <v>24715.441662322995</v>
      </c>
      <c r="J147" s="310">
        <f t="shared" si="14"/>
        <v>0</v>
      </c>
      <c r="K147" s="310">
        <f t="shared" si="14"/>
        <v>54061.72717921091</v>
      </c>
    </row>
    <row r="148" spans="1:11" ht="18" customHeight="1" x14ac:dyDescent="0.4">
      <c r="A148" s="1" t="s">
        <v>155</v>
      </c>
      <c r="B148" s="95" t="s">
        <v>70</v>
      </c>
      <c r="F148" s="110" t="s">
        <v>73</v>
      </c>
      <c r="G148" s="110" t="s">
        <v>73</v>
      </c>
      <c r="H148" s="111" t="s">
        <v>73</v>
      </c>
      <c r="I148" s="111" t="s">
        <v>73</v>
      </c>
      <c r="J148" s="111" t="s">
        <v>73</v>
      </c>
      <c r="K148" s="106">
        <f>F111</f>
        <v>4443367</v>
      </c>
    </row>
    <row r="149" spans="1:11" ht="18" customHeight="1" x14ac:dyDescent="0.4">
      <c r="A149" s="1" t="s">
        <v>163</v>
      </c>
      <c r="B149" s="95" t="s">
        <v>71</v>
      </c>
      <c r="F149" s="310">
        <f t="shared" ref="F149:K149" si="15">F137</f>
        <v>0</v>
      </c>
      <c r="G149" s="310">
        <f t="shared" si="15"/>
        <v>0</v>
      </c>
      <c r="H149" s="310">
        <f t="shared" si="15"/>
        <v>0</v>
      </c>
      <c r="I149" s="310">
        <f t="shared" si="15"/>
        <v>0</v>
      </c>
      <c r="J149" s="310">
        <f t="shared" si="15"/>
        <v>0</v>
      </c>
      <c r="K149" s="310">
        <f t="shared" si="15"/>
        <v>0</v>
      </c>
    </row>
    <row r="150" spans="1:11" ht="18" customHeight="1" x14ac:dyDescent="0.4">
      <c r="A150" s="1" t="s">
        <v>185</v>
      </c>
      <c r="B150" s="95" t="s">
        <v>186</v>
      </c>
      <c r="F150" s="110" t="s">
        <v>73</v>
      </c>
      <c r="G150" s="110" t="s">
        <v>73</v>
      </c>
      <c r="H150" s="310">
        <f>H18</f>
        <v>0</v>
      </c>
      <c r="I150" s="310">
        <f>I18</f>
        <v>0</v>
      </c>
      <c r="J150" s="310">
        <f>J18</f>
        <v>0</v>
      </c>
      <c r="K150" s="310">
        <f>K18</f>
        <v>0</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16">SUM(F141:F150)</f>
        <v>94430.435181040913</v>
      </c>
      <c r="G152" s="114">
        <f t="shared" si="16"/>
        <v>90981.984766815091</v>
      </c>
      <c r="H152" s="114">
        <f t="shared" si="16"/>
        <v>13448206.297989735</v>
      </c>
      <c r="I152" s="114">
        <f t="shared" si="16"/>
        <v>11326079.344166953</v>
      </c>
      <c r="J152" s="114">
        <f t="shared" si="16"/>
        <v>2545032.61</v>
      </c>
      <c r="K152" s="114">
        <f t="shared" si="16"/>
        <v>26672620.032156687</v>
      </c>
    </row>
    <row r="154" spans="1:11" ht="18" customHeight="1" x14ac:dyDescent="0.4">
      <c r="A154" s="98" t="s">
        <v>168</v>
      </c>
      <c r="B154" s="95" t="s">
        <v>28</v>
      </c>
      <c r="F154" s="318">
        <f>K152/F121</f>
        <v>0.11456108906302859</v>
      </c>
    </row>
    <row r="155" spans="1:11" ht="18" customHeight="1" x14ac:dyDescent="0.4">
      <c r="A155" s="98" t="s">
        <v>169</v>
      </c>
      <c r="B155" s="95" t="s">
        <v>72</v>
      </c>
      <c r="F155" s="318">
        <f>K152/F127</f>
        <v>20.350246232985285</v>
      </c>
      <c r="G155" s="95"/>
    </row>
    <row r="156" spans="1:11" ht="18" customHeight="1" x14ac:dyDescent="0.4">
      <c r="G156" s="95"/>
    </row>
  </sheetData>
  <mergeCells count="30">
    <mergeCell ref="B96:D96"/>
    <mergeCell ref="B133:D133"/>
    <mergeCell ref="B134:D134"/>
    <mergeCell ref="B135:D135"/>
    <mergeCell ref="B47:D47"/>
    <mergeCell ref="B52:C52"/>
    <mergeCell ref="B90:C90"/>
    <mergeCell ref="B94:D94"/>
    <mergeCell ref="B95:D95"/>
    <mergeCell ref="B103:C103"/>
    <mergeCell ref="B104:D104"/>
    <mergeCell ref="B105:D105"/>
    <mergeCell ref="B106:D106"/>
    <mergeCell ref="B34:D34"/>
    <mergeCell ref="B41:C41"/>
    <mergeCell ref="B44:D44"/>
    <mergeCell ref="B45:D45"/>
    <mergeCell ref="B46:D46"/>
    <mergeCell ref="B30:D30"/>
    <mergeCell ref="B31:D31"/>
    <mergeCell ref="B32:D32"/>
    <mergeCell ref="B33:D33"/>
    <mergeCell ref="D2:H2"/>
    <mergeCell ref="C11:G11"/>
    <mergeCell ref="B13:H13"/>
    <mergeCell ref="C5:G5"/>
    <mergeCell ref="C6:G6"/>
    <mergeCell ref="C7:G7"/>
    <mergeCell ref="C9:G9"/>
    <mergeCell ref="C10:G10"/>
  </mergeCells>
  <hyperlinks>
    <hyperlink ref="C11" r:id="rId1" xr:uid="{923C47BE-9001-46AA-9B3E-4398A6D4F067}"/>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3"/>
  <dimension ref="A1:K156"/>
  <sheetViews>
    <sheetView topLeftCell="A136" zoomScale="80" zoomScaleNormal="80" workbookViewId="0">
      <selection activeCell="K112" sqref="K112"/>
    </sheetView>
  </sheetViews>
  <sheetFormatPr defaultColWidth="25.1640625" defaultRowHeight="18" customHeight="1" x14ac:dyDescent="0.4"/>
  <cols>
    <col min="1" max="1" width="7.71875" style="93" customWidth="1"/>
    <col min="2" max="2" width="31.88671875" customWidth="1"/>
    <col min="3" max="3" width="12.71875" customWidth="1"/>
    <col min="4" max="4" width="3.5546875" customWidth="1"/>
    <col min="5" max="5" width="9.609375" customWidth="1"/>
    <col min="6" max="6" width="15.71875" style="189" customWidth="1"/>
    <col min="7" max="7" width="13.27734375" style="189" customWidth="1"/>
    <col min="8" max="8" width="13.1640625" customWidth="1"/>
    <col min="9" max="9" width="13.83203125" customWidth="1"/>
    <col min="10" max="10" width="13.71875" style="598" customWidth="1"/>
    <col min="11" max="11" width="16.1640625" style="131" customWidth="1"/>
  </cols>
  <sheetData>
    <row r="1" spans="1:11" ht="12.3" x14ac:dyDescent="0.4">
      <c r="A1" s="132"/>
      <c r="B1" s="132"/>
      <c r="C1" s="214"/>
      <c r="D1" s="215"/>
      <c r="E1" s="214"/>
      <c r="F1" s="374"/>
      <c r="G1" s="374"/>
      <c r="H1" s="214"/>
      <c r="I1" s="214"/>
      <c r="J1" s="572"/>
      <c r="K1" s="573"/>
    </row>
    <row r="2" spans="1:11" ht="15" x14ac:dyDescent="0.5">
      <c r="A2" s="132"/>
      <c r="B2" s="132"/>
      <c r="C2" s="132"/>
      <c r="D2" s="715" t="s">
        <v>654</v>
      </c>
      <c r="E2" s="716"/>
      <c r="F2" s="716"/>
      <c r="G2" s="716"/>
      <c r="H2" s="716"/>
      <c r="I2" s="132"/>
      <c r="J2" s="574"/>
      <c r="K2" s="575"/>
    </row>
    <row r="3" spans="1:11" ht="18" customHeight="1" x14ac:dyDescent="0.4">
      <c r="A3" s="132"/>
      <c r="B3" s="117" t="s">
        <v>0</v>
      </c>
      <c r="C3" s="132"/>
      <c r="D3" s="132"/>
      <c r="E3" s="132"/>
      <c r="F3" s="375"/>
      <c r="G3" s="375"/>
      <c r="H3" s="132"/>
      <c r="I3" s="132"/>
      <c r="J3" s="574"/>
      <c r="K3" s="575"/>
    </row>
    <row r="5" spans="1:11" ht="18" customHeight="1" x14ac:dyDescent="0.4">
      <c r="A5" s="132"/>
      <c r="B5" s="133" t="s">
        <v>40</v>
      </c>
      <c r="C5" s="774" t="s">
        <v>310</v>
      </c>
      <c r="D5" s="831"/>
      <c r="E5" s="831"/>
      <c r="F5" s="831"/>
      <c r="G5" s="832"/>
      <c r="H5" s="132"/>
      <c r="I5" s="132"/>
      <c r="J5" s="574"/>
      <c r="K5" s="575"/>
    </row>
    <row r="6" spans="1:11" ht="18" customHeight="1" x14ac:dyDescent="0.4">
      <c r="A6" s="132"/>
      <c r="B6" s="133" t="s">
        <v>3</v>
      </c>
      <c r="C6" s="833">
        <v>5034</v>
      </c>
      <c r="D6" s="834"/>
      <c r="E6" s="834"/>
      <c r="F6" s="834"/>
      <c r="G6" s="835"/>
      <c r="H6" s="132"/>
      <c r="I6" s="132"/>
      <c r="J6" s="574"/>
      <c r="K6" s="575"/>
    </row>
    <row r="7" spans="1:11" ht="18" customHeight="1" x14ac:dyDescent="0.4">
      <c r="A7" s="132"/>
      <c r="B7" s="133" t="s">
        <v>4</v>
      </c>
      <c r="C7" s="771">
        <v>752</v>
      </c>
      <c r="D7" s="836"/>
      <c r="E7" s="836"/>
      <c r="F7" s="836"/>
      <c r="G7" s="837"/>
      <c r="H7" s="132"/>
      <c r="I7" s="132"/>
      <c r="J7" s="574"/>
      <c r="K7" s="575"/>
    </row>
    <row r="9" spans="1:11" ht="18" customHeight="1" x14ac:dyDescent="0.4">
      <c r="A9" s="132"/>
      <c r="B9" s="133" t="s">
        <v>1</v>
      </c>
      <c r="C9" s="717" t="s">
        <v>530</v>
      </c>
      <c r="D9" s="718"/>
      <c r="E9" s="718"/>
      <c r="F9" s="718"/>
      <c r="G9" s="719"/>
      <c r="H9" s="132"/>
      <c r="I9" s="132"/>
      <c r="J9" s="574"/>
      <c r="K9" s="575"/>
    </row>
    <row r="10" spans="1:11" ht="18" customHeight="1" x14ac:dyDescent="0.4">
      <c r="A10" s="132"/>
      <c r="B10" s="133" t="s">
        <v>2</v>
      </c>
      <c r="C10" s="712" t="s">
        <v>531</v>
      </c>
      <c r="D10" s="713"/>
      <c r="E10" s="713"/>
      <c r="F10" s="713"/>
      <c r="G10" s="714"/>
      <c r="H10" s="132"/>
      <c r="I10" s="132"/>
      <c r="J10" s="574"/>
      <c r="K10" s="575"/>
    </row>
    <row r="11" spans="1:11" ht="18" customHeight="1" x14ac:dyDescent="0.4">
      <c r="A11" s="132"/>
      <c r="B11" s="133" t="s">
        <v>32</v>
      </c>
      <c r="C11" s="692" t="s">
        <v>532</v>
      </c>
      <c r="D11" s="727"/>
      <c r="E11" s="727"/>
      <c r="F11" s="727"/>
      <c r="G11" s="727"/>
      <c r="H11" s="132"/>
      <c r="I11" s="132"/>
      <c r="J11" s="574"/>
      <c r="K11" s="575"/>
    </row>
    <row r="12" spans="1:11" ht="18" customHeight="1" x14ac:dyDescent="0.4">
      <c r="A12"/>
      <c r="F12"/>
      <c r="G12"/>
      <c r="J12"/>
      <c r="K12"/>
    </row>
    <row r="13" spans="1:11" ht="18" customHeight="1" x14ac:dyDescent="0.4">
      <c r="A13"/>
      <c r="F13"/>
      <c r="G13"/>
      <c r="J13"/>
      <c r="K13"/>
    </row>
    <row r="14" spans="1:11" ht="18" customHeight="1" x14ac:dyDescent="0.4">
      <c r="A14"/>
      <c r="F14"/>
      <c r="G14"/>
      <c r="J14"/>
      <c r="K14"/>
    </row>
    <row r="15" spans="1:11" ht="18" customHeight="1" x14ac:dyDescent="0.4">
      <c r="A15"/>
      <c r="F15"/>
      <c r="G15"/>
      <c r="J15"/>
      <c r="K15"/>
    </row>
    <row r="16" spans="1:11" ht="47.25" customHeight="1" x14ac:dyDescent="0.4">
      <c r="A16" s="215" t="s">
        <v>181</v>
      </c>
      <c r="B16" s="214"/>
      <c r="C16" s="214"/>
      <c r="D16" s="214"/>
      <c r="E16" s="214"/>
      <c r="F16" s="376" t="s">
        <v>9</v>
      </c>
      <c r="G16" s="376" t="s">
        <v>37</v>
      </c>
      <c r="H16" s="119" t="s">
        <v>29</v>
      </c>
      <c r="I16" s="119" t="s">
        <v>30</v>
      </c>
      <c r="J16" s="576" t="s">
        <v>33</v>
      </c>
      <c r="K16" s="577" t="s">
        <v>34</v>
      </c>
    </row>
    <row r="17" spans="1:11" ht="18" customHeight="1" x14ac:dyDescent="0.4">
      <c r="A17" s="118" t="s">
        <v>184</v>
      </c>
      <c r="B17" s="117" t="s">
        <v>182</v>
      </c>
      <c r="C17" s="132"/>
      <c r="D17" s="132"/>
      <c r="E17" s="132"/>
      <c r="F17" s="375"/>
      <c r="G17" s="375"/>
      <c r="H17" s="132"/>
      <c r="I17" s="132"/>
      <c r="J17" s="574"/>
      <c r="K17" s="575"/>
    </row>
    <row r="18" spans="1:11" ht="18" customHeight="1" x14ac:dyDescent="0.4">
      <c r="A18" s="133" t="s">
        <v>185</v>
      </c>
      <c r="B18" s="132" t="s">
        <v>183</v>
      </c>
      <c r="C18" s="132"/>
      <c r="D18" s="132"/>
      <c r="E18" s="132"/>
      <c r="F18" s="326" t="s">
        <v>73</v>
      </c>
      <c r="G18" s="326" t="s">
        <v>73</v>
      </c>
      <c r="H18" s="327"/>
      <c r="I18" s="130">
        <v>0</v>
      </c>
      <c r="J18" s="578"/>
      <c r="K18" s="328">
        <v>0</v>
      </c>
    </row>
    <row r="19" spans="1:11" ht="45" customHeight="1" x14ac:dyDescent="0.4">
      <c r="A19" s="215" t="s">
        <v>8</v>
      </c>
      <c r="B19" s="214"/>
      <c r="C19" s="214"/>
      <c r="D19" s="214"/>
      <c r="E19" s="214"/>
      <c r="F19" s="376" t="s">
        <v>9</v>
      </c>
      <c r="G19" s="376" t="s">
        <v>37</v>
      </c>
      <c r="H19" s="119" t="s">
        <v>29</v>
      </c>
      <c r="I19" s="119" t="s">
        <v>30</v>
      </c>
      <c r="J19" s="576" t="s">
        <v>33</v>
      </c>
      <c r="K19" s="577" t="s">
        <v>34</v>
      </c>
    </row>
    <row r="20" spans="1:11" ht="18" customHeight="1" x14ac:dyDescent="0.4">
      <c r="A20" s="118" t="s">
        <v>74</v>
      </c>
      <c r="B20" s="117" t="s">
        <v>41</v>
      </c>
      <c r="C20" s="132"/>
      <c r="D20" s="132"/>
      <c r="E20" s="132"/>
      <c r="F20" s="375"/>
      <c r="G20" s="375"/>
      <c r="H20" s="132"/>
      <c r="I20" s="132"/>
      <c r="J20" s="574"/>
      <c r="K20" s="575"/>
    </row>
    <row r="21" spans="1:11" ht="18" customHeight="1" x14ac:dyDescent="0.4">
      <c r="A21" s="133" t="s">
        <v>75</v>
      </c>
      <c r="B21" s="132" t="s">
        <v>42</v>
      </c>
      <c r="C21" s="132"/>
      <c r="D21" s="132"/>
      <c r="E21" s="132"/>
      <c r="F21" s="326">
        <v>2362.25</v>
      </c>
      <c r="G21" s="326">
        <v>43588</v>
      </c>
      <c r="H21" s="327">
        <v>117204.27187499999</v>
      </c>
      <c r="I21" s="130">
        <v>41926.635937499996</v>
      </c>
      <c r="J21" s="578">
        <v>0</v>
      </c>
      <c r="K21" s="328">
        <v>159130.90781249999</v>
      </c>
    </row>
    <row r="22" spans="1:11" ht="18" customHeight="1" x14ac:dyDescent="0.4">
      <c r="A22" s="133" t="s">
        <v>76</v>
      </c>
      <c r="B22" s="132" t="s">
        <v>6</v>
      </c>
      <c r="C22" s="132"/>
      <c r="D22" s="132"/>
      <c r="E22" s="132"/>
      <c r="F22" s="326">
        <v>94</v>
      </c>
      <c r="G22" s="326">
        <v>263</v>
      </c>
      <c r="H22" s="327">
        <v>3131.375</v>
      </c>
      <c r="I22" s="130">
        <v>1565.6875</v>
      </c>
      <c r="J22" s="578">
        <v>0</v>
      </c>
      <c r="K22" s="328">
        <v>4697.0625</v>
      </c>
    </row>
    <row r="23" spans="1:11" ht="18" customHeight="1" x14ac:dyDescent="0.4">
      <c r="A23" s="133" t="s">
        <v>77</v>
      </c>
      <c r="B23" s="132" t="s">
        <v>43</v>
      </c>
      <c r="C23" s="132"/>
      <c r="D23" s="132"/>
      <c r="E23" s="132"/>
      <c r="F23" s="326">
        <v>0</v>
      </c>
      <c r="G23" s="326">
        <v>0</v>
      </c>
      <c r="H23" s="327">
        <v>0</v>
      </c>
      <c r="I23" s="130">
        <v>0</v>
      </c>
      <c r="J23" s="578">
        <v>0</v>
      </c>
      <c r="K23" s="328">
        <v>0</v>
      </c>
    </row>
    <row r="24" spans="1:11" ht="18" customHeight="1" x14ac:dyDescent="0.4">
      <c r="A24" s="133" t="s">
        <v>78</v>
      </c>
      <c r="B24" s="132" t="s">
        <v>44</v>
      </c>
      <c r="C24" s="132"/>
      <c r="D24" s="132"/>
      <c r="E24" s="132"/>
      <c r="F24" s="326">
        <v>191.5</v>
      </c>
      <c r="G24" s="326">
        <v>2895</v>
      </c>
      <c r="H24" s="327">
        <v>7439.7749999999996</v>
      </c>
      <c r="I24" s="130">
        <v>3719.8874999999998</v>
      </c>
      <c r="J24" s="578">
        <v>0</v>
      </c>
      <c r="K24" s="328">
        <v>11159.662499999999</v>
      </c>
    </row>
    <row r="25" spans="1:11" ht="18" customHeight="1" x14ac:dyDescent="0.4">
      <c r="A25" s="133" t="s">
        <v>79</v>
      </c>
      <c r="B25" s="132" t="s">
        <v>5</v>
      </c>
      <c r="C25" s="132"/>
      <c r="D25" s="132"/>
      <c r="E25" s="132"/>
      <c r="F25" s="326">
        <v>0</v>
      </c>
      <c r="G25" s="326">
        <v>0</v>
      </c>
      <c r="H25" s="327">
        <v>0</v>
      </c>
      <c r="I25" s="130">
        <v>0</v>
      </c>
      <c r="J25" s="578">
        <v>0</v>
      </c>
      <c r="K25" s="328">
        <v>0</v>
      </c>
    </row>
    <row r="26" spans="1:11" ht="18" customHeight="1" x14ac:dyDescent="0.4">
      <c r="A26" s="133" t="s">
        <v>80</v>
      </c>
      <c r="B26" s="132" t="s">
        <v>45</v>
      </c>
      <c r="C26" s="132"/>
      <c r="D26" s="132"/>
      <c r="E26" s="132"/>
      <c r="F26" s="326">
        <v>0</v>
      </c>
      <c r="G26" s="326">
        <v>0</v>
      </c>
      <c r="H26" s="327">
        <v>0</v>
      </c>
      <c r="I26" s="130">
        <v>0</v>
      </c>
      <c r="J26" s="578">
        <v>0</v>
      </c>
      <c r="K26" s="328">
        <v>0</v>
      </c>
    </row>
    <row r="27" spans="1:11" ht="18" customHeight="1" x14ac:dyDescent="0.4">
      <c r="A27" s="133" t="s">
        <v>81</v>
      </c>
      <c r="B27" s="132" t="s">
        <v>46</v>
      </c>
      <c r="C27" s="132"/>
      <c r="D27" s="132"/>
      <c r="E27" s="132"/>
      <c r="F27" s="326">
        <v>0</v>
      </c>
      <c r="G27" s="326">
        <v>0</v>
      </c>
      <c r="H27" s="327">
        <v>0</v>
      </c>
      <c r="I27" s="130">
        <v>0</v>
      </c>
      <c r="J27" s="578">
        <v>0</v>
      </c>
      <c r="K27" s="328">
        <v>0</v>
      </c>
    </row>
    <row r="28" spans="1:11" ht="18" customHeight="1" x14ac:dyDescent="0.4">
      <c r="A28" s="133" t="s">
        <v>82</v>
      </c>
      <c r="B28" s="132" t="s">
        <v>47</v>
      </c>
      <c r="C28" s="132"/>
      <c r="D28" s="132"/>
      <c r="E28" s="132"/>
      <c r="F28" s="326">
        <v>0</v>
      </c>
      <c r="G28" s="326">
        <v>0</v>
      </c>
      <c r="H28" s="327">
        <v>0</v>
      </c>
      <c r="I28" s="130">
        <v>0</v>
      </c>
      <c r="J28" s="578">
        <v>0</v>
      </c>
      <c r="K28" s="328">
        <v>0</v>
      </c>
    </row>
    <row r="29" spans="1:11" ht="18" customHeight="1" x14ac:dyDescent="0.4">
      <c r="A29" s="133" t="s">
        <v>83</v>
      </c>
      <c r="B29" s="132" t="s">
        <v>48</v>
      </c>
      <c r="C29" s="132"/>
      <c r="D29" s="132"/>
      <c r="E29" s="132"/>
      <c r="F29" s="326">
        <v>10</v>
      </c>
      <c r="G29" s="326">
        <v>19</v>
      </c>
      <c r="H29" s="327">
        <v>388.49999999999994</v>
      </c>
      <c r="I29" s="130">
        <v>194.24999999999997</v>
      </c>
      <c r="J29" s="578">
        <v>0</v>
      </c>
      <c r="K29" s="328">
        <v>582.74999999999989</v>
      </c>
    </row>
    <row r="30" spans="1:11" ht="18" customHeight="1" x14ac:dyDescent="0.4">
      <c r="A30" s="133" t="s">
        <v>84</v>
      </c>
      <c r="B30" s="696"/>
      <c r="C30" s="697"/>
      <c r="D30" s="698"/>
      <c r="E30" s="132"/>
      <c r="F30" s="326">
        <v>0</v>
      </c>
      <c r="G30" s="326">
        <v>0</v>
      </c>
      <c r="H30" s="327">
        <v>0</v>
      </c>
      <c r="I30" s="130">
        <v>0</v>
      </c>
      <c r="J30" s="578">
        <v>0</v>
      </c>
      <c r="K30" s="328">
        <v>0</v>
      </c>
    </row>
    <row r="31" spans="1:11" ht="18" customHeight="1" x14ac:dyDescent="0.4">
      <c r="A31" s="133" t="s">
        <v>133</v>
      </c>
      <c r="B31" s="696"/>
      <c r="C31" s="697"/>
      <c r="D31" s="698"/>
      <c r="E31" s="132"/>
      <c r="F31" s="326">
        <v>0</v>
      </c>
      <c r="G31" s="326">
        <v>0</v>
      </c>
      <c r="H31" s="327">
        <v>0</v>
      </c>
      <c r="I31" s="130">
        <v>0</v>
      </c>
      <c r="J31" s="578">
        <v>0</v>
      </c>
      <c r="K31" s="328">
        <v>0</v>
      </c>
    </row>
    <row r="32" spans="1:11" ht="18" customHeight="1" x14ac:dyDescent="0.4">
      <c r="A32" s="133" t="s">
        <v>134</v>
      </c>
      <c r="B32" s="465"/>
      <c r="C32" s="466"/>
      <c r="D32" s="467"/>
      <c r="E32" s="132"/>
      <c r="F32" s="326">
        <v>0</v>
      </c>
      <c r="G32" s="326">
        <v>0</v>
      </c>
      <c r="H32" s="327">
        <v>0</v>
      </c>
      <c r="I32" s="130">
        <v>0</v>
      </c>
      <c r="J32" s="578">
        <v>0</v>
      </c>
      <c r="K32" s="328">
        <v>0</v>
      </c>
    </row>
    <row r="33" spans="1:11" ht="18" customHeight="1" x14ac:dyDescent="0.4">
      <c r="A33" s="133" t="s">
        <v>135</v>
      </c>
      <c r="B33" s="465"/>
      <c r="C33" s="466"/>
      <c r="D33" s="467"/>
      <c r="E33" s="132"/>
      <c r="F33" s="326">
        <v>0</v>
      </c>
      <c r="G33" s="326">
        <v>0</v>
      </c>
      <c r="H33" s="327">
        <v>0</v>
      </c>
      <c r="I33" s="130">
        <v>0</v>
      </c>
      <c r="J33" s="578">
        <v>0</v>
      </c>
      <c r="K33" s="328">
        <v>0</v>
      </c>
    </row>
    <row r="34" spans="1:11" ht="18" customHeight="1" x14ac:dyDescent="0.4">
      <c r="A34" s="133" t="s">
        <v>136</v>
      </c>
      <c r="B34" s="696"/>
      <c r="C34" s="697"/>
      <c r="D34" s="698"/>
      <c r="E34" s="132"/>
      <c r="F34" s="326">
        <v>0</v>
      </c>
      <c r="G34" s="326">
        <v>0</v>
      </c>
      <c r="H34" s="327">
        <v>0</v>
      </c>
      <c r="I34" s="130">
        <v>0</v>
      </c>
      <c r="J34" s="578">
        <v>0</v>
      </c>
      <c r="K34" s="328">
        <v>0</v>
      </c>
    </row>
    <row r="35" spans="1:11" ht="18" customHeight="1" x14ac:dyDescent="0.4">
      <c r="A35" s="132"/>
      <c r="B35" s="132"/>
      <c r="C35" s="132"/>
      <c r="D35" s="132"/>
      <c r="E35" s="132"/>
      <c r="F35" s="375"/>
      <c r="G35" s="375"/>
      <c r="H35" s="575"/>
      <c r="I35" s="132"/>
      <c r="J35" s="574"/>
      <c r="K35" s="468"/>
    </row>
    <row r="36" spans="1:11" ht="18" customHeight="1" x14ac:dyDescent="0.4">
      <c r="A36" s="118" t="s">
        <v>137</v>
      </c>
      <c r="B36" s="117" t="s">
        <v>138</v>
      </c>
      <c r="C36" s="132"/>
      <c r="D36" s="132"/>
      <c r="E36" s="117" t="s">
        <v>7</v>
      </c>
      <c r="F36" s="329">
        <v>2657.75</v>
      </c>
      <c r="G36" s="329">
        <v>46765</v>
      </c>
      <c r="H36" s="328">
        <v>128163.92187499999</v>
      </c>
      <c r="I36" s="328">
        <v>47406.460937499993</v>
      </c>
      <c r="J36" s="579">
        <v>0</v>
      </c>
      <c r="K36" s="328">
        <v>175570.3828125</v>
      </c>
    </row>
    <row r="37" spans="1:11" ht="18" customHeight="1" thickBot="1" x14ac:dyDescent="0.45">
      <c r="A37" s="132"/>
      <c r="B37" s="117"/>
      <c r="C37" s="132"/>
      <c r="D37" s="132"/>
      <c r="E37" s="132"/>
      <c r="F37" s="377"/>
      <c r="G37" s="377"/>
      <c r="H37" s="469"/>
      <c r="I37" s="469"/>
      <c r="J37" s="580"/>
      <c r="K37" s="90"/>
    </row>
    <row r="38" spans="1:11" ht="42.75" customHeight="1" x14ac:dyDescent="0.4">
      <c r="A38" s="132"/>
      <c r="B38" s="132"/>
      <c r="C38" s="132"/>
      <c r="D38" s="132"/>
      <c r="E38" s="132"/>
      <c r="F38" s="376" t="s">
        <v>9</v>
      </c>
      <c r="G38" s="376" t="s">
        <v>37</v>
      </c>
      <c r="H38" s="119" t="s">
        <v>29</v>
      </c>
      <c r="I38" s="119" t="s">
        <v>30</v>
      </c>
      <c r="J38" s="576" t="s">
        <v>33</v>
      </c>
      <c r="K38" s="577" t="s">
        <v>34</v>
      </c>
    </row>
    <row r="39" spans="1:11" ht="18.75" customHeight="1" x14ac:dyDescent="0.4">
      <c r="A39" s="118" t="s">
        <v>86</v>
      </c>
      <c r="B39" s="117" t="s">
        <v>49</v>
      </c>
      <c r="C39" s="132"/>
      <c r="D39" s="132"/>
      <c r="E39" s="132"/>
      <c r="F39" s="375"/>
      <c r="G39" s="375"/>
      <c r="H39" s="132"/>
      <c r="I39" s="132"/>
      <c r="J39" s="574"/>
      <c r="K39" s="575"/>
    </row>
    <row r="40" spans="1:11" ht="18" customHeight="1" x14ac:dyDescent="0.4">
      <c r="A40" s="133" t="s">
        <v>87</v>
      </c>
      <c r="B40" s="132" t="s">
        <v>31</v>
      </c>
      <c r="C40" s="132"/>
      <c r="D40" s="132"/>
      <c r="E40" s="132"/>
      <c r="F40" s="326">
        <v>0</v>
      </c>
      <c r="G40" s="326">
        <v>0</v>
      </c>
      <c r="H40" s="358">
        <v>0</v>
      </c>
      <c r="I40" s="130">
        <v>0</v>
      </c>
      <c r="J40" s="578">
        <v>0</v>
      </c>
      <c r="K40" s="328">
        <v>0</v>
      </c>
    </row>
    <row r="41" spans="1:11" ht="18" customHeight="1" x14ac:dyDescent="0.4">
      <c r="A41" s="133" t="s">
        <v>88</v>
      </c>
      <c r="B41" s="711" t="s">
        <v>50</v>
      </c>
      <c r="C41" s="711"/>
      <c r="D41" s="132"/>
      <c r="E41" s="132"/>
      <c r="F41" s="326">
        <v>2940</v>
      </c>
      <c r="G41" s="326">
        <v>269</v>
      </c>
      <c r="H41" s="358">
        <v>146412</v>
      </c>
      <c r="I41" s="130">
        <v>73206</v>
      </c>
      <c r="J41" s="578">
        <v>0</v>
      </c>
      <c r="K41" s="328">
        <v>219618</v>
      </c>
    </row>
    <row r="42" spans="1:11" ht="18" customHeight="1" x14ac:dyDescent="0.4">
      <c r="A42" s="133" t="s">
        <v>89</v>
      </c>
      <c r="B42" s="132" t="s">
        <v>11</v>
      </c>
      <c r="C42" s="132"/>
      <c r="D42" s="132"/>
      <c r="E42" s="132"/>
      <c r="F42" s="326">
        <v>3638.5</v>
      </c>
      <c r="G42" s="326">
        <v>356.99999999999994</v>
      </c>
      <c r="H42" s="358">
        <v>158619.55624999999</v>
      </c>
      <c r="I42" s="130">
        <v>73309.778124999997</v>
      </c>
      <c r="J42" s="578">
        <v>0</v>
      </c>
      <c r="K42" s="328">
        <v>231929.33437499998</v>
      </c>
    </row>
    <row r="43" spans="1:11" ht="18" customHeight="1" x14ac:dyDescent="0.4">
      <c r="A43" s="133" t="s">
        <v>90</v>
      </c>
      <c r="B43" s="132" t="s">
        <v>10</v>
      </c>
      <c r="C43" s="132"/>
      <c r="D43" s="132"/>
      <c r="E43" s="132"/>
      <c r="F43" s="326">
        <v>0</v>
      </c>
      <c r="G43" s="326">
        <v>0</v>
      </c>
      <c r="H43" s="358">
        <v>0</v>
      </c>
      <c r="I43" s="130">
        <v>0</v>
      </c>
      <c r="J43" s="578">
        <v>0</v>
      </c>
      <c r="K43" s="328">
        <v>0</v>
      </c>
    </row>
    <row r="44" spans="1:11" ht="18" customHeight="1" x14ac:dyDescent="0.4">
      <c r="A44" s="133" t="s">
        <v>91</v>
      </c>
      <c r="B44" s="696"/>
      <c r="C44" s="697"/>
      <c r="D44" s="698"/>
      <c r="E44" s="132"/>
      <c r="F44" s="326">
        <v>0</v>
      </c>
      <c r="G44" s="326">
        <v>0</v>
      </c>
      <c r="H44" s="358">
        <v>0</v>
      </c>
      <c r="I44" s="130">
        <v>0</v>
      </c>
      <c r="J44" s="578">
        <v>0</v>
      </c>
      <c r="K44" s="581">
        <v>0</v>
      </c>
    </row>
    <row r="45" spans="1:11" ht="18" customHeight="1" x14ac:dyDescent="0.4">
      <c r="A45" s="133" t="s">
        <v>139</v>
      </c>
      <c r="B45" s="696"/>
      <c r="C45" s="697"/>
      <c r="D45" s="698"/>
      <c r="E45" s="132"/>
      <c r="F45" s="326">
        <v>0</v>
      </c>
      <c r="G45" s="326">
        <v>0</v>
      </c>
      <c r="H45" s="358">
        <v>0</v>
      </c>
      <c r="I45" s="130">
        <v>0</v>
      </c>
      <c r="J45" s="578">
        <v>0</v>
      </c>
      <c r="K45" s="328">
        <v>0</v>
      </c>
    </row>
    <row r="46" spans="1:11" ht="18" customHeight="1" x14ac:dyDescent="0.4">
      <c r="A46" s="133" t="s">
        <v>140</v>
      </c>
      <c r="B46" s="696"/>
      <c r="C46" s="697"/>
      <c r="D46" s="698"/>
      <c r="E46" s="132"/>
      <c r="F46" s="326">
        <v>0</v>
      </c>
      <c r="G46" s="326">
        <v>0</v>
      </c>
      <c r="H46" s="358">
        <v>0</v>
      </c>
      <c r="I46" s="130">
        <v>0</v>
      </c>
      <c r="J46" s="578">
        <v>0</v>
      </c>
      <c r="K46" s="328">
        <v>0</v>
      </c>
    </row>
    <row r="47" spans="1:11" ht="18" customHeight="1" x14ac:dyDescent="0.4">
      <c r="A47" s="133" t="s">
        <v>141</v>
      </c>
      <c r="B47" s="696"/>
      <c r="C47" s="697"/>
      <c r="D47" s="698"/>
      <c r="E47" s="132"/>
      <c r="F47" s="326">
        <v>0</v>
      </c>
      <c r="G47" s="326">
        <v>0</v>
      </c>
      <c r="H47" s="358">
        <v>0</v>
      </c>
      <c r="I47" s="130">
        <v>0</v>
      </c>
      <c r="J47" s="578">
        <v>0</v>
      </c>
      <c r="K47" s="328">
        <v>0</v>
      </c>
    </row>
    <row r="49" spans="1:11" ht="18" customHeight="1" x14ac:dyDescent="0.4">
      <c r="A49" s="118" t="s">
        <v>142</v>
      </c>
      <c r="B49" s="117" t="s">
        <v>143</v>
      </c>
      <c r="C49" s="132"/>
      <c r="D49" s="132"/>
      <c r="E49" s="117" t="s">
        <v>7</v>
      </c>
      <c r="F49" s="329">
        <v>6578.5</v>
      </c>
      <c r="G49" s="329">
        <v>626</v>
      </c>
      <c r="H49" s="328">
        <v>305031.55625000002</v>
      </c>
      <c r="I49" s="328">
        <v>146515.77812500001</v>
      </c>
      <c r="J49" s="579">
        <v>0</v>
      </c>
      <c r="K49" s="328">
        <v>451547.33437499998</v>
      </c>
    </row>
    <row r="50" spans="1:11" ht="18" customHeight="1" thickBot="1" x14ac:dyDescent="0.45">
      <c r="A50" s="132"/>
      <c r="B50" s="132"/>
      <c r="C50" s="132"/>
      <c r="D50" s="132"/>
      <c r="E50" s="132"/>
      <c r="F50" s="375"/>
      <c r="G50" s="377"/>
      <c r="H50" s="123"/>
      <c r="I50" s="123"/>
      <c r="J50" s="580"/>
      <c r="K50" s="469"/>
    </row>
    <row r="51" spans="1:11" ht="42.75" customHeight="1" x14ac:dyDescent="0.4">
      <c r="A51" s="132"/>
      <c r="B51" s="132"/>
      <c r="C51" s="132"/>
      <c r="D51" s="132"/>
      <c r="E51" s="132"/>
      <c r="F51" s="376" t="s">
        <v>9</v>
      </c>
      <c r="G51" s="376" t="s">
        <v>37</v>
      </c>
      <c r="H51" s="119" t="s">
        <v>29</v>
      </c>
      <c r="I51" s="119" t="s">
        <v>30</v>
      </c>
      <c r="J51" s="576" t="s">
        <v>33</v>
      </c>
      <c r="K51" s="577" t="s">
        <v>34</v>
      </c>
    </row>
    <row r="52" spans="1:11" ht="18" customHeight="1" x14ac:dyDescent="0.4">
      <c r="A52" s="118" t="s">
        <v>92</v>
      </c>
      <c r="B52" s="699" t="s">
        <v>38</v>
      </c>
      <c r="C52" s="700"/>
      <c r="D52" s="132"/>
      <c r="E52" s="132"/>
      <c r="F52" s="375"/>
      <c r="G52" s="375"/>
      <c r="H52" s="132"/>
      <c r="I52" s="132"/>
      <c r="J52" s="574"/>
      <c r="K52" s="575"/>
    </row>
    <row r="53" spans="1:11" ht="18" customHeight="1" x14ac:dyDescent="0.4">
      <c r="A53" s="133" t="s">
        <v>51</v>
      </c>
      <c r="B53" s="701" t="s">
        <v>311</v>
      </c>
      <c r="C53" s="702"/>
      <c r="D53" s="703"/>
      <c r="E53" s="132"/>
      <c r="F53" s="326">
        <v>9467</v>
      </c>
      <c r="G53" s="326">
        <v>1069</v>
      </c>
      <c r="H53" s="358">
        <v>500998.54734527168</v>
      </c>
      <c r="I53" s="130">
        <v>250499.27367263584</v>
      </c>
      <c r="J53" s="327">
        <v>227804.07393692932</v>
      </c>
      <c r="K53" s="328">
        <v>523693.74708097812</v>
      </c>
    </row>
    <row r="54" spans="1:11" ht="18" customHeight="1" x14ac:dyDescent="0.4">
      <c r="A54" s="133" t="s">
        <v>93</v>
      </c>
      <c r="B54" s="548" t="s">
        <v>652</v>
      </c>
      <c r="C54" s="582"/>
      <c r="D54" s="583"/>
      <c r="E54" s="132"/>
      <c r="F54" s="584">
        <v>1520</v>
      </c>
      <c r="G54" s="584">
        <v>107</v>
      </c>
      <c r="H54" s="332">
        <v>29032.369548742892</v>
      </c>
      <c r="I54" s="585">
        <v>14516.184774371446</v>
      </c>
      <c r="J54" s="332">
        <v>36086.275658958722</v>
      </c>
      <c r="K54" s="581">
        <v>7462.2786641556158</v>
      </c>
    </row>
    <row r="55" spans="1:11" ht="18" customHeight="1" x14ac:dyDescent="0.4">
      <c r="A55" s="133" t="s">
        <v>94</v>
      </c>
      <c r="B55" s="701"/>
      <c r="C55" s="702"/>
      <c r="D55" s="703"/>
      <c r="E55" s="132"/>
      <c r="F55" s="326"/>
      <c r="G55" s="326"/>
      <c r="H55" s="327"/>
      <c r="I55" s="130">
        <v>0</v>
      </c>
      <c r="J55" s="327"/>
      <c r="K55" s="328">
        <v>0</v>
      </c>
    </row>
    <row r="56" spans="1:11" ht="18" customHeight="1" x14ac:dyDescent="0.4">
      <c r="A56" s="133" t="s">
        <v>95</v>
      </c>
      <c r="B56" s="701"/>
      <c r="C56" s="702"/>
      <c r="D56" s="703"/>
      <c r="E56" s="132"/>
      <c r="F56" s="326"/>
      <c r="G56" s="326"/>
      <c r="H56" s="327"/>
      <c r="I56" s="130">
        <v>0</v>
      </c>
      <c r="J56" s="327"/>
      <c r="K56" s="328">
        <v>0</v>
      </c>
    </row>
    <row r="57" spans="1:11" ht="18" customHeight="1" x14ac:dyDescent="0.4">
      <c r="A57" s="133" t="s">
        <v>96</v>
      </c>
      <c r="B57" s="701"/>
      <c r="C57" s="702"/>
      <c r="D57" s="703"/>
      <c r="E57" s="132"/>
      <c r="F57" s="326"/>
      <c r="G57" s="326"/>
      <c r="H57" s="327"/>
      <c r="I57" s="130">
        <v>0</v>
      </c>
      <c r="J57" s="327"/>
      <c r="K57" s="328">
        <v>0</v>
      </c>
    </row>
    <row r="58" spans="1:11" ht="18" customHeight="1" x14ac:dyDescent="0.4">
      <c r="A58" s="133" t="s">
        <v>97</v>
      </c>
      <c r="B58" s="473"/>
      <c r="C58" s="474"/>
      <c r="D58" s="475"/>
      <c r="E58" s="132"/>
      <c r="F58" s="326"/>
      <c r="G58" s="326"/>
      <c r="H58" s="327"/>
      <c r="I58" s="130">
        <v>0</v>
      </c>
      <c r="J58" s="327"/>
      <c r="K58" s="328">
        <v>0</v>
      </c>
    </row>
    <row r="59" spans="1:11" ht="18" customHeight="1" x14ac:dyDescent="0.4">
      <c r="A59" s="133" t="s">
        <v>98</v>
      </c>
      <c r="B59" s="701"/>
      <c r="C59" s="702"/>
      <c r="D59" s="703"/>
      <c r="E59" s="132"/>
      <c r="F59" s="326"/>
      <c r="G59" s="326"/>
      <c r="H59" s="327"/>
      <c r="I59" s="130">
        <v>0</v>
      </c>
      <c r="J59" s="327"/>
      <c r="K59" s="328">
        <v>0</v>
      </c>
    </row>
    <row r="60" spans="1:11" ht="18" customHeight="1" x14ac:dyDescent="0.4">
      <c r="A60" s="133" t="s">
        <v>99</v>
      </c>
      <c r="B60" s="473"/>
      <c r="C60" s="474"/>
      <c r="D60" s="475"/>
      <c r="E60" s="132"/>
      <c r="F60" s="326"/>
      <c r="G60" s="326"/>
      <c r="H60" s="327"/>
      <c r="I60" s="130">
        <v>0</v>
      </c>
      <c r="J60" s="327"/>
      <c r="K60" s="328">
        <v>0</v>
      </c>
    </row>
    <row r="61" spans="1:11" ht="18" customHeight="1" x14ac:dyDescent="0.4">
      <c r="A61" s="133" t="s">
        <v>100</v>
      </c>
      <c r="B61" s="473"/>
      <c r="C61" s="474"/>
      <c r="D61" s="475"/>
      <c r="E61" s="132"/>
      <c r="F61" s="326"/>
      <c r="G61" s="326"/>
      <c r="H61" s="327"/>
      <c r="I61" s="130">
        <v>0</v>
      </c>
      <c r="J61" s="327"/>
      <c r="K61" s="328">
        <v>0</v>
      </c>
    </row>
    <row r="62" spans="1:11" ht="18" customHeight="1" x14ac:dyDescent="0.4">
      <c r="A62" s="133" t="s">
        <v>101</v>
      </c>
      <c r="B62" s="701"/>
      <c r="C62" s="702"/>
      <c r="D62" s="703"/>
      <c r="E62" s="132"/>
      <c r="F62" s="326"/>
      <c r="G62" s="326"/>
      <c r="H62" s="327"/>
      <c r="I62" s="130">
        <v>0</v>
      </c>
      <c r="J62" s="327"/>
      <c r="K62" s="328">
        <v>0</v>
      </c>
    </row>
    <row r="63" spans="1:11" ht="18" customHeight="1" x14ac:dyDescent="0.4">
      <c r="A63" s="133"/>
      <c r="B63" s="132"/>
      <c r="C63" s="132"/>
      <c r="D63" s="132"/>
      <c r="E63" s="132"/>
      <c r="F63" s="375"/>
      <c r="G63" s="375"/>
      <c r="H63" s="132"/>
      <c r="I63" s="470"/>
      <c r="J63" s="575"/>
      <c r="K63" s="575"/>
    </row>
    <row r="64" spans="1:11" ht="18" customHeight="1" x14ac:dyDescent="0.4">
      <c r="A64" s="133" t="s">
        <v>144</v>
      </c>
      <c r="B64" s="117" t="s">
        <v>145</v>
      </c>
      <c r="C64" s="132"/>
      <c r="D64" s="132"/>
      <c r="E64" s="117" t="s">
        <v>7</v>
      </c>
      <c r="F64" s="329">
        <v>10987</v>
      </c>
      <c r="G64" s="329">
        <v>1176</v>
      </c>
      <c r="H64" s="328">
        <v>530030.91689401458</v>
      </c>
      <c r="I64" s="328">
        <v>265015.45844700729</v>
      </c>
      <c r="J64" s="328">
        <v>263890.34959588805</v>
      </c>
      <c r="K64" s="328">
        <v>531156.02574513375</v>
      </c>
    </row>
    <row r="65" spans="1:11" ht="18" customHeight="1" x14ac:dyDescent="0.4">
      <c r="A65" s="132"/>
      <c r="B65" s="132"/>
      <c r="C65" s="132"/>
      <c r="D65" s="132"/>
      <c r="E65" s="132"/>
      <c r="F65" s="378"/>
      <c r="G65" s="378"/>
      <c r="H65" s="128"/>
      <c r="I65" s="128"/>
      <c r="J65" s="586"/>
      <c r="K65" s="587"/>
    </row>
    <row r="66" spans="1:11" ht="42.75" customHeight="1" x14ac:dyDescent="0.4">
      <c r="A66" s="132"/>
      <c r="B66" s="132"/>
      <c r="C66" s="132"/>
      <c r="D66" s="132"/>
      <c r="E66" s="132"/>
      <c r="F66" s="376" t="s">
        <v>9</v>
      </c>
      <c r="G66" s="376" t="s">
        <v>37</v>
      </c>
      <c r="H66" s="119" t="s">
        <v>29</v>
      </c>
      <c r="I66" s="119" t="s">
        <v>30</v>
      </c>
      <c r="J66" s="576" t="s">
        <v>33</v>
      </c>
      <c r="K66" s="577" t="s">
        <v>34</v>
      </c>
    </row>
    <row r="67" spans="1:11" ht="18" customHeight="1" x14ac:dyDescent="0.4">
      <c r="A67" s="118" t="s">
        <v>102</v>
      </c>
      <c r="B67" s="117" t="s">
        <v>12</v>
      </c>
      <c r="C67" s="132"/>
      <c r="D67" s="132"/>
      <c r="E67" s="132"/>
      <c r="F67" s="588"/>
      <c r="G67" s="588"/>
      <c r="H67" s="471"/>
      <c r="I67" s="472"/>
      <c r="J67" s="589"/>
      <c r="K67" s="472"/>
    </row>
    <row r="68" spans="1:11" ht="18" customHeight="1" x14ac:dyDescent="0.4">
      <c r="A68" s="133" t="s">
        <v>103</v>
      </c>
      <c r="B68" s="590" t="s">
        <v>52</v>
      </c>
      <c r="C68" s="591"/>
      <c r="D68" s="592"/>
      <c r="E68" s="132"/>
      <c r="F68" s="326">
        <v>73.5</v>
      </c>
      <c r="G68" s="326">
        <v>94</v>
      </c>
      <c r="H68" s="327">
        <v>2569.8125</v>
      </c>
      <c r="I68" s="130">
        <v>1284.90625</v>
      </c>
      <c r="J68" s="578">
        <v>0</v>
      </c>
      <c r="K68" s="328">
        <v>3854.71875</v>
      </c>
    </row>
    <row r="69" spans="1:11" ht="18" customHeight="1" x14ac:dyDescent="0.4">
      <c r="A69" s="133" t="s">
        <v>104</v>
      </c>
      <c r="B69" s="593" t="s">
        <v>53</v>
      </c>
      <c r="C69" s="594"/>
      <c r="D69" s="595"/>
      <c r="E69" s="132"/>
      <c r="F69" s="584">
        <v>45</v>
      </c>
      <c r="G69" s="584">
        <v>0</v>
      </c>
      <c r="H69" s="332">
        <v>1499.0625</v>
      </c>
      <c r="I69" s="585">
        <v>749.53125</v>
      </c>
      <c r="J69" s="596">
        <v>0</v>
      </c>
      <c r="K69" s="581">
        <v>2248.59375</v>
      </c>
    </row>
    <row r="70" spans="1:11" ht="18" customHeight="1" x14ac:dyDescent="0.4">
      <c r="A70" s="133" t="s">
        <v>178</v>
      </c>
      <c r="B70" s="473"/>
      <c r="C70" s="474"/>
      <c r="D70" s="475"/>
      <c r="E70" s="117"/>
      <c r="F70" s="326">
        <v>0</v>
      </c>
      <c r="G70" s="326">
        <v>0</v>
      </c>
      <c r="H70" s="578">
        <v>0</v>
      </c>
      <c r="I70" s="130">
        <v>0</v>
      </c>
      <c r="J70" s="578">
        <v>0</v>
      </c>
      <c r="K70" s="328">
        <v>0</v>
      </c>
    </row>
    <row r="71" spans="1:11" ht="18" customHeight="1" x14ac:dyDescent="0.4">
      <c r="A71" s="133" t="s">
        <v>179</v>
      </c>
      <c r="B71" s="473"/>
      <c r="C71" s="474"/>
      <c r="D71" s="475"/>
      <c r="E71" s="117"/>
      <c r="F71" s="326">
        <v>0</v>
      </c>
      <c r="G71" s="326">
        <v>0</v>
      </c>
      <c r="H71" s="578">
        <v>0</v>
      </c>
      <c r="I71" s="130">
        <v>0</v>
      </c>
      <c r="J71" s="578">
        <v>0</v>
      </c>
      <c r="K71" s="328">
        <v>0</v>
      </c>
    </row>
    <row r="72" spans="1:11" ht="18" customHeight="1" x14ac:dyDescent="0.4">
      <c r="A72" s="133" t="s">
        <v>180</v>
      </c>
      <c r="B72" s="476"/>
      <c r="C72" s="477"/>
      <c r="D72" s="478"/>
      <c r="E72" s="117"/>
      <c r="F72" s="326">
        <v>0</v>
      </c>
      <c r="G72" s="326">
        <v>0</v>
      </c>
      <c r="H72" s="578">
        <v>0</v>
      </c>
      <c r="I72" s="130">
        <v>0</v>
      </c>
      <c r="J72" s="578">
        <v>0</v>
      </c>
      <c r="K72" s="328">
        <v>0</v>
      </c>
    </row>
    <row r="73" spans="1:11" ht="18" customHeight="1" x14ac:dyDescent="0.4">
      <c r="A73" s="133"/>
      <c r="B73" s="132"/>
      <c r="C73" s="132"/>
      <c r="D73" s="132"/>
      <c r="E73" s="117"/>
      <c r="F73" s="479"/>
      <c r="G73" s="479"/>
      <c r="H73" s="597"/>
      <c r="I73" s="472"/>
      <c r="J73" s="597"/>
      <c r="K73" s="472"/>
    </row>
    <row r="74" spans="1:11" ht="18" customHeight="1" x14ac:dyDescent="0.4">
      <c r="A74" s="118" t="s">
        <v>146</v>
      </c>
      <c r="B74" s="117" t="s">
        <v>147</v>
      </c>
      <c r="C74" s="132"/>
      <c r="D74" s="132"/>
      <c r="E74" s="117" t="s">
        <v>7</v>
      </c>
      <c r="F74" s="329">
        <v>118.5</v>
      </c>
      <c r="G74" s="329">
        <v>94</v>
      </c>
      <c r="H74" s="579">
        <v>4068.875</v>
      </c>
      <c r="I74" s="482">
        <v>2034.4375</v>
      </c>
      <c r="J74" s="579">
        <v>0</v>
      </c>
      <c r="K74" s="328">
        <v>6103.3125</v>
      </c>
    </row>
    <row r="75" spans="1:11" ht="42.75" customHeight="1" x14ac:dyDescent="0.4">
      <c r="A75" s="132"/>
      <c r="B75" s="132"/>
      <c r="C75" s="132"/>
      <c r="D75" s="132"/>
      <c r="E75" s="132"/>
      <c r="F75" s="376" t="s">
        <v>9</v>
      </c>
      <c r="G75" s="376" t="s">
        <v>37</v>
      </c>
      <c r="H75" s="119" t="s">
        <v>29</v>
      </c>
      <c r="I75" s="119" t="s">
        <v>30</v>
      </c>
      <c r="J75" s="576" t="s">
        <v>33</v>
      </c>
      <c r="K75" s="577" t="s">
        <v>34</v>
      </c>
    </row>
    <row r="76" spans="1:11" ht="18" customHeight="1" x14ac:dyDescent="0.4">
      <c r="A76" s="118" t="s">
        <v>105</v>
      </c>
      <c r="B76" s="117" t="s">
        <v>106</v>
      </c>
      <c r="C76" s="132"/>
      <c r="D76" s="132"/>
      <c r="E76" s="132"/>
      <c r="F76" s="375"/>
      <c r="G76" s="375"/>
      <c r="H76" s="132"/>
      <c r="I76" s="132"/>
      <c r="J76" s="574"/>
      <c r="K76" s="575"/>
    </row>
    <row r="77" spans="1:11" ht="18" customHeight="1" x14ac:dyDescent="0.4">
      <c r="A77" s="133" t="s">
        <v>107</v>
      </c>
      <c r="B77" s="132" t="s">
        <v>54</v>
      </c>
      <c r="C77" s="132"/>
      <c r="D77" s="132"/>
      <c r="E77" s="132"/>
      <c r="F77" s="326">
        <v>0</v>
      </c>
      <c r="G77" s="326">
        <v>0</v>
      </c>
      <c r="H77" s="358">
        <v>0</v>
      </c>
      <c r="I77" s="130">
        <v>0</v>
      </c>
      <c r="J77" s="578">
        <v>0</v>
      </c>
      <c r="K77" s="328">
        <v>0</v>
      </c>
    </row>
    <row r="78" spans="1:11" ht="18" customHeight="1" x14ac:dyDescent="0.4">
      <c r="A78" s="133" t="s">
        <v>108</v>
      </c>
      <c r="B78" s="132" t="s">
        <v>55</v>
      </c>
      <c r="C78" s="132"/>
      <c r="D78" s="132"/>
      <c r="E78" s="132"/>
      <c r="F78" s="326">
        <v>0</v>
      </c>
      <c r="G78" s="326">
        <v>0</v>
      </c>
      <c r="H78" s="358">
        <v>0</v>
      </c>
      <c r="I78" s="130">
        <v>0</v>
      </c>
      <c r="J78" s="578">
        <v>0</v>
      </c>
      <c r="K78" s="328">
        <v>0</v>
      </c>
    </row>
    <row r="79" spans="1:11" ht="18" customHeight="1" x14ac:dyDescent="0.4">
      <c r="A79" s="133" t="s">
        <v>109</v>
      </c>
      <c r="B79" s="132" t="s">
        <v>13</v>
      </c>
      <c r="C79" s="132"/>
      <c r="D79" s="132"/>
      <c r="E79" s="132"/>
      <c r="F79" s="326">
        <v>361</v>
      </c>
      <c r="G79" s="326">
        <v>1050</v>
      </c>
      <c r="H79" s="358">
        <v>18266.512500000001</v>
      </c>
      <c r="I79" s="130">
        <v>6133.2562500000004</v>
      </c>
      <c r="J79" s="578">
        <v>0</v>
      </c>
      <c r="K79" s="328">
        <v>24399.768750000003</v>
      </c>
    </row>
    <row r="80" spans="1:11" ht="18" customHeight="1" x14ac:dyDescent="0.4">
      <c r="A80" s="133" t="s">
        <v>110</v>
      </c>
      <c r="B80" s="132" t="s">
        <v>56</v>
      </c>
      <c r="C80" s="132"/>
      <c r="D80" s="132"/>
      <c r="E80" s="132"/>
      <c r="F80" s="326">
        <v>15</v>
      </c>
      <c r="G80" s="326">
        <v>0</v>
      </c>
      <c r="H80" s="358">
        <v>1098.9375</v>
      </c>
      <c r="I80" s="130">
        <v>549.46875</v>
      </c>
      <c r="J80" s="578">
        <v>0</v>
      </c>
      <c r="K80" s="328">
        <v>1648.40625</v>
      </c>
    </row>
    <row r="81" spans="1:11" ht="18" customHeight="1" x14ac:dyDescent="0.4">
      <c r="A81" s="133"/>
      <c r="B81" s="132"/>
      <c r="C81" s="132"/>
      <c r="D81" s="132"/>
      <c r="E81" s="132"/>
      <c r="F81" s="375"/>
      <c r="G81" s="375"/>
      <c r="H81" s="132"/>
      <c r="I81" s="132"/>
      <c r="J81" s="574"/>
      <c r="K81" s="330"/>
    </row>
    <row r="82" spans="1:11" ht="18" customHeight="1" x14ac:dyDescent="0.4">
      <c r="A82" s="133" t="s">
        <v>148</v>
      </c>
      <c r="B82" s="117" t="s">
        <v>149</v>
      </c>
      <c r="C82" s="132"/>
      <c r="D82" s="132"/>
      <c r="E82" s="117" t="s">
        <v>7</v>
      </c>
      <c r="F82" s="329">
        <v>376</v>
      </c>
      <c r="G82" s="329">
        <v>1050</v>
      </c>
      <c r="H82" s="328">
        <v>19365.45</v>
      </c>
      <c r="I82" s="328">
        <v>6682.7250000000004</v>
      </c>
      <c r="J82" s="579">
        <v>0</v>
      </c>
      <c r="K82" s="328">
        <v>26048.175000000003</v>
      </c>
    </row>
    <row r="83" spans="1:11" ht="18" customHeight="1" thickBot="1" x14ac:dyDescent="0.45">
      <c r="A83" s="133"/>
      <c r="B83" s="132"/>
      <c r="C83" s="132"/>
      <c r="D83" s="132"/>
      <c r="E83" s="132"/>
      <c r="F83" s="377"/>
      <c r="G83" s="377"/>
      <c r="H83" s="123"/>
      <c r="I83" s="123"/>
      <c r="J83" s="580"/>
      <c r="K83" s="469"/>
    </row>
    <row r="84" spans="1:11" ht="42.75" customHeight="1" x14ac:dyDescent="0.4">
      <c r="A84" s="132"/>
      <c r="B84" s="132"/>
      <c r="C84" s="132"/>
      <c r="D84" s="132"/>
      <c r="E84" s="132"/>
      <c r="F84" s="376" t="s">
        <v>9</v>
      </c>
      <c r="G84" s="376" t="s">
        <v>37</v>
      </c>
      <c r="H84" s="119" t="s">
        <v>29</v>
      </c>
      <c r="I84" s="119" t="s">
        <v>30</v>
      </c>
      <c r="J84" s="576" t="s">
        <v>33</v>
      </c>
      <c r="K84" s="577" t="s">
        <v>34</v>
      </c>
    </row>
    <row r="85" spans="1:11" ht="18" customHeight="1" x14ac:dyDescent="0.4">
      <c r="A85" s="118" t="s">
        <v>111</v>
      </c>
      <c r="B85" s="117" t="s">
        <v>57</v>
      </c>
      <c r="C85" s="132"/>
      <c r="D85" s="132"/>
      <c r="E85" s="132"/>
      <c r="F85" s="375"/>
      <c r="G85" s="375"/>
      <c r="H85" s="132"/>
      <c r="I85" s="132"/>
      <c r="J85" s="574"/>
      <c r="K85" s="575"/>
    </row>
    <row r="86" spans="1:11" ht="18" customHeight="1" x14ac:dyDescent="0.4">
      <c r="A86" s="133" t="s">
        <v>112</v>
      </c>
      <c r="B86" s="132" t="s">
        <v>113</v>
      </c>
      <c r="C86" s="132"/>
      <c r="D86" s="132"/>
      <c r="E86" s="132"/>
      <c r="F86" s="326">
        <v>0</v>
      </c>
      <c r="G86" s="326">
        <v>0</v>
      </c>
      <c r="H86" s="358">
        <v>0</v>
      </c>
      <c r="I86" s="130">
        <v>0</v>
      </c>
      <c r="J86" s="578">
        <v>0</v>
      </c>
      <c r="K86" s="328">
        <v>0</v>
      </c>
    </row>
    <row r="87" spans="1:11" ht="18" customHeight="1" x14ac:dyDescent="0.4">
      <c r="A87" s="133" t="s">
        <v>114</v>
      </c>
      <c r="B87" s="132" t="s">
        <v>14</v>
      </c>
      <c r="C87" s="132"/>
      <c r="D87" s="132"/>
      <c r="E87" s="132"/>
      <c r="F87" s="326">
        <v>0</v>
      </c>
      <c r="G87" s="326">
        <v>0</v>
      </c>
      <c r="H87" s="358">
        <v>0</v>
      </c>
      <c r="I87" s="130">
        <v>0</v>
      </c>
      <c r="J87" s="578">
        <v>0</v>
      </c>
      <c r="K87" s="328">
        <v>0</v>
      </c>
    </row>
    <row r="88" spans="1:11" ht="18" customHeight="1" x14ac:dyDescent="0.4">
      <c r="A88" s="133" t="s">
        <v>115</v>
      </c>
      <c r="B88" s="132" t="s">
        <v>116</v>
      </c>
      <c r="C88" s="132"/>
      <c r="D88" s="132"/>
      <c r="E88" s="132"/>
      <c r="F88" s="326">
        <v>1276.125</v>
      </c>
      <c r="G88" s="326">
        <v>0</v>
      </c>
      <c r="H88" s="358">
        <v>120304.43960954313</v>
      </c>
      <c r="I88" s="130">
        <v>10717.145833333332</v>
      </c>
      <c r="J88" s="578">
        <v>0</v>
      </c>
      <c r="K88" s="328">
        <v>131021.58544287646</v>
      </c>
    </row>
    <row r="89" spans="1:11" ht="18" customHeight="1" x14ac:dyDescent="0.4">
      <c r="A89" s="133" t="s">
        <v>117</v>
      </c>
      <c r="B89" s="132" t="s">
        <v>58</v>
      </c>
      <c r="C89" s="132"/>
      <c r="D89" s="132"/>
      <c r="E89" s="132"/>
      <c r="F89" s="326">
        <v>0</v>
      </c>
      <c r="G89" s="326">
        <v>0</v>
      </c>
      <c r="H89" s="358">
        <v>0</v>
      </c>
      <c r="I89" s="130">
        <v>0</v>
      </c>
      <c r="J89" s="578">
        <v>0</v>
      </c>
      <c r="K89" s="328">
        <v>0</v>
      </c>
    </row>
    <row r="90" spans="1:11" ht="18" customHeight="1" x14ac:dyDescent="0.4">
      <c r="A90" s="133" t="s">
        <v>118</v>
      </c>
      <c r="B90" s="711" t="s">
        <v>59</v>
      </c>
      <c r="C90" s="711"/>
      <c r="D90" s="132"/>
      <c r="E90" s="132"/>
      <c r="F90" s="326">
        <v>0</v>
      </c>
      <c r="G90" s="326">
        <v>0</v>
      </c>
      <c r="H90" s="358">
        <v>0</v>
      </c>
      <c r="I90" s="130">
        <v>0</v>
      </c>
      <c r="J90" s="578">
        <v>0</v>
      </c>
      <c r="K90" s="328">
        <v>0</v>
      </c>
    </row>
    <row r="91" spans="1:11" ht="18" customHeight="1" x14ac:dyDescent="0.4">
      <c r="A91" s="133" t="s">
        <v>119</v>
      </c>
      <c r="B91" s="132" t="s">
        <v>60</v>
      </c>
      <c r="C91" s="132"/>
      <c r="D91" s="132"/>
      <c r="E91" s="132"/>
      <c r="F91" s="326">
        <v>410.5</v>
      </c>
      <c r="G91" s="326">
        <v>600</v>
      </c>
      <c r="H91" s="358">
        <v>18077.828125</v>
      </c>
      <c r="I91" s="130">
        <v>9038.9140625</v>
      </c>
      <c r="J91" s="578">
        <v>0</v>
      </c>
      <c r="K91" s="328">
        <v>27116.7421875</v>
      </c>
    </row>
    <row r="92" spans="1:11" ht="18" customHeight="1" x14ac:dyDescent="0.4">
      <c r="A92" s="133" t="s">
        <v>120</v>
      </c>
      <c r="B92" s="132" t="s">
        <v>121</v>
      </c>
      <c r="C92" s="132"/>
      <c r="D92" s="132"/>
      <c r="E92" s="132"/>
      <c r="F92" s="326">
        <v>208</v>
      </c>
      <c r="G92" s="326">
        <v>0</v>
      </c>
      <c r="H92" s="358">
        <v>20307.933721955127</v>
      </c>
      <c r="I92" s="130">
        <v>10153.966860977564</v>
      </c>
      <c r="J92" s="578">
        <v>0</v>
      </c>
      <c r="K92" s="328">
        <v>30461.900582932692</v>
      </c>
    </row>
    <row r="93" spans="1:11" ht="18" customHeight="1" x14ac:dyDescent="0.4">
      <c r="A93" s="133" t="s">
        <v>122</v>
      </c>
      <c r="B93" s="132" t="s">
        <v>123</v>
      </c>
      <c r="C93" s="132"/>
      <c r="D93" s="132"/>
      <c r="E93" s="132"/>
      <c r="F93" s="326">
        <v>25</v>
      </c>
      <c r="G93" s="326">
        <v>0</v>
      </c>
      <c r="H93" s="358">
        <v>38610.565204326922</v>
      </c>
      <c r="I93" s="130">
        <v>19305.282602163461</v>
      </c>
      <c r="J93" s="578">
        <v>0</v>
      </c>
      <c r="K93" s="328">
        <v>57915.847806490383</v>
      </c>
    </row>
    <row r="94" spans="1:11" ht="18" customHeight="1" x14ac:dyDescent="0.4">
      <c r="A94" s="133" t="s">
        <v>124</v>
      </c>
      <c r="B94" s="701"/>
      <c r="C94" s="702"/>
      <c r="D94" s="703"/>
      <c r="E94" s="132"/>
      <c r="F94" s="326">
        <v>125</v>
      </c>
      <c r="G94" s="326">
        <v>0</v>
      </c>
      <c r="H94" s="358">
        <v>4856.2499999999991</v>
      </c>
      <c r="I94" s="130">
        <v>2428.1249999999995</v>
      </c>
      <c r="J94" s="578">
        <v>0</v>
      </c>
      <c r="K94" s="328">
        <v>7284.3749999999982</v>
      </c>
    </row>
    <row r="95" spans="1:11" ht="18" customHeight="1" x14ac:dyDescent="0.4">
      <c r="A95" s="133" t="s">
        <v>125</v>
      </c>
      <c r="B95" s="701"/>
      <c r="C95" s="702"/>
      <c r="D95" s="703"/>
      <c r="E95" s="132"/>
      <c r="F95" s="326">
        <v>0</v>
      </c>
      <c r="G95" s="326">
        <v>0</v>
      </c>
      <c r="H95" s="358">
        <v>0</v>
      </c>
      <c r="I95" s="130">
        <v>0</v>
      </c>
      <c r="J95" s="578">
        <v>0</v>
      </c>
      <c r="K95" s="328">
        <v>0</v>
      </c>
    </row>
    <row r="96" spans="1:11" ht="18" customHeight="1" x14ac:dyDescent="0.4">
      <c r="A96" s="133" t="s">
        <v>126</v>
      </c>
      <c r="B96" s="701"/>
      <c r="C96" s="702"/>
      <c r="D96" s="703"/>
      <c r="E96" s="132"/>
      <c r="F96" s="326">
        <v>0</v>
      </c>
      <c r="G96" s="326">
        <v>0</v>
      </c>
      <c r="H96" s="358">
        <v>0</v>
      </c>
      <c r="I96" s="130">
        <v>0</v>
      </c>
      <c r="J96" s="578">
        <v>0</v>
      </c>
      <c r="K96" s="328">
        <v>0</v>
      </c>
    </row>
    <row r="97" spans="1:11" ht="18" customHeight="1" x14ac:dyDescent="0.4">
      <c r="A97" s="133"/>
      <c r="B97" s="132"/>
      <c r="C97" s="132"/>
      <c r="D97" s="132"/>
      <c r="E97" s="132"/>
      <c r="F97" s="375"/>
      <c r="G97" s="375"/>
      <c r="H97" s="132"/>
      <c r="I97" s="132"/>
      <c r="J97" s="574"/>
      <c r="K97" s="575"/>
    </row>
    <row r="98" spans="1:11" ht="18" customHeight="1" x14ac:dyDescent="0.4">
      <c r="A98" s="118" t="s">
        <v>150</v>
      </c>
      <c r="B98" s="117" t="s">
        <v>151</v>
      </c>
      <c r="C98" s="132"/>
      <c r="D98" s="132"/>
      <c r="E98" s="117" t="s">
        <v>7</v>
      </c>
      <c r="F98" s="329">
        <v>2044.625</v>
      </c>
      <c r="G98" s="329">
        <v>600</v>
      </c>
      <c r="H98" s="355">
        <v>202157.01666082517</v>
      </c>
      <c r="I98" s="355">
        <v>51643.434358974358</v>
      </c>
      <c r="J98" s="579">
        <v>0</v>
      </c>
      <c r="K98" s="328">
        <v>253800.45101979951</v>
      </c>
    </row>
    <row r="99" spans="1:11" ht="18" customHeight="1" thickBot="1" x14ac:dyDescent="0.45">
      <c r="A99" s="132"/>
      <c r="B99" s="117"/>
      <c r="C99" s="132"/>
      <c r="D99" s="132"/>
      <c r="E99" s="132"/>
      <c r="F99" s="377"/>
      <c r="G99" s="377"/>
      <c r="H99" s="123"/>
      <c r="I99" s="123"/>
      <c r="J99" s="580"/>
      <c r="K99" s="469"/>
    </row>
    <row r="100" spans="1:11" ht="42.75" customHeight="1" x14ac:dyDescent="0.4">
      <c r="A100" s="132"/>
      <c r="B100" s="132"/>
      <c r="C100" s="132"/>
      <c r="D100" s="132"/>
      <c r="E100" s="132"/>
      <c r="F100" s="376" t="s">
        <v>9</v>
      </c>
      <c r="G100" s="376" t="s">
        <v>37</v>
      </c>
      <c r="H100" s="119" t="s">
        <v>29</v>
      </c>
      <c r="I100" s="119" t="s">
        <v>30</v>
      </c>
      <c r="J100" s="576" t="s">
        <v>33</v>
      </c>
      <c r="K100" s="577" t="s">
        <v>34</v>
      </c>
    </row>
    <row r="101" spans="1:11" ht="18" customHeight="1" x14ac:dyDescent="0.4">
      <c r="A101" s="118" t="s">
        <v>130</v>
      </c>
      <c r="B101" s="117" t="s">
        <v>63</v>
      </c>
      <c r="C101" s="132"/>
      <c r="D101" s="132"/>
      <c r="E101" s="132"/>
      <c r="F101" s="375"/>
      <c r="G101" s="375"/>
      <c r="H101" s="132"/>
      <c r="I101" s="132"/>
      <c r="J101" s="574"/>
      <c r="K101" s="575"/>
    </row>
    <row r="102" spans="1:11" ht="18" customHeight="1" x14ac:dyDescent="0.4">
      <c r="A102" s="133" t="s">
        <v>131</v>
      </c>
      <c r="B102" s="132" t="s">
        <v>152</v>
      </c>
      <c r="C102" s="132"/>
      <c r="D102" s="132"/>
      <c r="E102" s="132"/>
      <c r="F102" s="326">
        <v>2658</v>
      </c>
      <c r="G102" s="326">
        <v>0</v>
      </c>
      <c r="H102" s="358">
        <v>92662.449999999983</v>
      </c>
      <c r="I102" s="130">
        <v>46331.224999999991</v>
      </c>
      <c r="J102" s="578">
        <v>0</v>
      </c>
      <c r="K102" s="328">
        <v>138993.67499999999</v>
      </c>
    </row>
    <row r="103" spans="1:11" ht="18" customHeight="1" x14ac:dyDescent="0.4">
      <c r="A103" s="133" t="s">
        <v>132</v>
      </c>
      <c r="B103" s="711" t="s">
        <v>62</v>
      </c>
      <c r="C103" s="711"/>
      <c r="D103" s="132"/>
      <c r="E103" s="132"/>
      <c r="F103" s="326">
        <v>0</v>
      </c>
      <c r="G103" s="326">
        <v>0</v>
      </c>
      <c r="H103" s="358">
        <v>0</v>
      </c>
      <c r="I103" s="130">
        <v>0</v>
      </c>
      <c r="J103" s="578">
        <v>0</v>
      </c>
      <c r="K103" s="328">
        <v>0</v>
      </c>
    </row>
    <row r="104" spans="1:11" ht="18" customHeight="1" x14ac:dyDescent="0.4">
      <c r="A104" s="133" t="s">
        <v>128</v>
      </c>
      <c r="B104" s="701"/>
      <c r="C104" s="702"/>
      <c r="D104" s="703"/>
      <c r="E104" s="132"/>
      <c r="F104" s="326">
        <v>0</v>
      </c>
      <c r="G104" s="326">
        <v>0</v>
      </c>
      <c r="H104" s="358">
        <v>0</v>
      </c>
      <c r="I104" s="130">
        <v>0</v>
      </c>
      <c r="J104" s="578">
        <v>0</v>
      </c>
      <c r="K104" s="328">
        <v>0</v>
      </c>
    </row>
    <row r="105" spans="1:11" ht="18" customHeight="1" x14ac:dyDescent="0.4">
      <c r="A105" s="133" t="s">
        <v>127</v>
      </c>
      <c r="B105" s="701"/>
      <c r="C105" s="702"/>
      <c r="D105" s="703"/>
      <c r="E105" s="132"/>
      <c r="F105" s="326">
        <v>0</v>
      </c>
      <c r="G105" s="326">
        <v>0</v>
      </c>
      <c r="H105" s="358">
        <v>0</v>
      </c>
      <c r="I105" s="130">
        <v>0</v>
      </c>
      <c r="J105" s="578">
        <v>0</v>
      </c>
      <c r="K105" s="328">
        <v>0</v>
      </c>
    </row>
    <row r="106" spans="1:11" ht="18" customHeight="1" x14ac:dyDescent="0.4">
      <c r="A106" s="133" t="s">
        <v>129</v>
      </c>
      <c r="B106" s="701"/>
      <c r="C106" s="702"/>
      <c r="D106" s="703"/>
      <c r="E106" s="132"/>
      <c r="F106" s="326">
        <v>0</v>
      </c>
      <c r="G106" s="326">
        <v>0</v>
      </c>
      <c r="H106" s="358">
        <v>0</v>
      </c>
      <c r="I106" s="130">
        <v>0</v>
      </c>
      <c r="J106" s="578">
        <v>0</v>
      </c>
      <c r="K106" s="328">
        <v>0</v>
      </c>
    </row>
    <row r="107" spans="1:11" ht="18" customHeight="1" x14ac:dyDescent="0.4">
      <c r="A107" s="132"/>
      <c r="B107" s="117"/>
      <c r="C107" s="132"/>
      <c r="D107" s="132"/>
      <c r="E107" s="132"/>
      <c r="F107" s="375"/>
      <c r="G107" s="375"/>
      <c r="H107" s="132"/>
      <c r="I107" s="132"/>
      <c r="J107" s="574"/>
      <c r="K107" s="575"/>
    </row>
    <row r="108" spans="1:11" ht="18" customHeight="1" x14ac:dyDescent="0.4">
      <c r="A108" s="118" t="s">
        <v>153</v>
      </c>
      <c r="B108" s="117" t="s">
        <v>154</v>
      </c>
      <c r="C108" s="132"/>
      <c r="D108" s="132"/>
      <c r="E108" s="117" t="s">
        <v>7</v>
      </c>
      <c r="F108" s="329">
        <v>2658</v>
      </c>
      <c r="G108" s="329">
        <v>0</v>
      </c>
      <c r="H108" s="328">
        <v>92662.449999999983</v>
      </c>
      <c r="I108" s="328">
        <v>46331.224999999991</v>
      </c>
      <c r="J108" s="579">
        <v>0</v>
      </c>
      <c r="K108" s="328">
        <v>138993.67499999999</v>
      </c>
    </row>
    <row r="109" spans="1:11" ht="18" customHeight="1" thickBot="1" x14ac:dyDescent="0.45">
      <c r="A109" s="120"/>
      <c r="B109" s="121"/>
      <c r="C109" s="122"/>
      <c r="D109" s="122"/>
      <c r="E109" s="122"/>
      <c r="F109" s="377"/>
      <c r="G109" s="377"/>
      <c r="H109" s="123"/>
      <c r="I109" s="123"/>
      <c r="J109" s="580"/>
      <c r="K109" s="469"/>
    </row>
    <row r="110" spans="1:11" ht="18" customHeight="1" x14ac:dyDescent="0.4">
      <c r="A110" s="118" t="s">
        <v>156</v>
      </c>
      <c r="B110" s="117" t="s">
        <v>39</v>
      </c>
      <c r="C110" s="132"/>
      <c r="D110" s="132"/>
      <c r="E110" s="132"/>
      <c r="F110" s="375"/>
      <c r="G110" s="375"/>
      <c r="H110" s="132"/>
      <c r="I110" s="132"/>
      <c r="J110" s="574"/>
      <c r="K110" s="575"/>
    </row>
    <row r="111" spans="1:11" ht="18" customHeight="1" x14ac:dyDescent="0.4">
      <c r="A111" s="118" t="s">
        <v>155</v>
      </c>
      <c r="B111" s="117" t="s">
        <v>164</v>
      </c>
      <c r="C111" s="132"/>
      <c r="D111" s="132"/>
      <c r="E111" s="117" t="s">
        <v>7</v>
      </c>
      <c r="F111" s="326">
        <v>65146</v>
      </c>
      <c r="G111" s="375"/>
      <c r="H111" s="132"/>
      <c r="I111" s="132"/>
      <c r="J111" s="574"/>
      <c r="K111" s="575"/>
    </row>
    <row r="112" spans="1:11" ht="18" customHeight="1" x14ac:dyDescent="0.4">
      <c r="A112" s="132"/>
      <c r="B112" s="117"/>
      <c r="C112" s="132"/>
      <c r="D112" s="132"/>
      <c r="E112" s="117"/>
      <c r="F112" s="375"/>
      <c r="G112" s="375"/>
      <c r="H112" s="132"/>
      <c r="I112" s="132"/>
      <c r="J112" s="574"/>
      <c r="K112" s="575"/>
    </row>
    <row r="113" spans="1:6" ht="12.3" x14ac:dyDescent="0.4">
      <c r="A113" s="118"/>
      <c r="B113" s="117" t="s">
        <v>15</v>
      </c>
      <c r="C113" s="132"/>
      <c r="D113" s="132"/>
      <c r="E113" s="132"/>
      <c r="F113" s="375"/>
    </row>
    <row r="114" spans="1:6" ht="12.3" x14ac:dyDescent="0.4">
      <c r="A114" s="133" t="s">
        <v>171</v>
      </c>
      <c r="B114" s="132" t="s">
        <v>35</v>
      </c>
      <c r="C114" s="132"/>
      <c r="D114" s="132"/>
      <c r="E114" s="132"/>
      <c r="F114" s="317">
        <v>0.5</v>
      </c>
    </row>
    <row r="115" spans="1:6" ht="12.3" x14ac:dyDescent="0.4">
      <c r="A115" s="133"/>
      <c r="B115" s="117"/>
      <c r="C115" s="132"/>
      <c r="D115" s="132"/>
      <c r="E115" s="132"/>
      <c r="F115" s="375"/>
    </row>
    <row r="116" spans="1:6" ht="12.3" x14ac:dyDescent="0.4">
      <c r="A116" s="133" t="s">
        <v>170</v>
      </c>
      <c r="B116" s="117" t="s">
        <v>16</v>
      </c>
      <c r="C116" s="132"/>
      <c r="D116" s="132"/>
      <c r="E116" s="132"/>
      <c r="F116" s="375"/>
    </row>
    <row r="117" spans="1:6" ht="12.3" x14ac:dyDescent="0.4">
      <c r="A117" s="133" t="s">
        <v>172</v>
      </c>
      <c r="B117" s="132" t="s">
        <v>17</v>
      </c>
      <c r="C117" s="132"/>
      <c r="D117" s="132"/>
      <c r="E117" s="132"/>
      <c r="F117" s="358">
        <v>66466182</v>
      </c>
    </row>
    <row r="118" spans="1:6" ht="12.3" x14ac:dyDescent="0.4">
      <c r="A118" s="133" t="s">
        <v>173</v>
      </c>
      <c r="B118" s="132" t="s">
        <v>18</v>
      </c>
      <c r="C118" s="132"/>
      <c r="D118" s="132"/>
      <c r="E118" s="132"/>
      <c r="F118" s="358">
        <v>2437397</v>
      </c>
    </row>
    <row r="119" spans="1:6" ht="12.3" x14ac:dyDescent="0.4">
      <c r="A119" s="133" t="s">
        <v>174</v>
      </c>
      <c r="B119" s="117" t="s">
        <v>19</v>
      </c>
      <c r="C119" s="132"/>
      <c r="D119" s="132"/>
      <c r="E119" s="132"/>
      <c r="F119" s="355">
        <v>68903579</v>
      </c>
    </row>
    <row r="120" spans="1:6" ht="12.3" x14ac:dyDescent="0.4">
      <c r="A120" s="133"/>
      <c r="B120" s="117"/>
      <c r="C120" s="132"/>
      <c r="D120" s="132"/>
      <c r="E120" s="132"/>
      <c r="F120" s="92"/>
    </row>
    <row r="121" spans="1:6" ht="12.3" x14ac:dyDescent="0.4">
      <c r="A121" s="133" t="s">
        <v>167</v>
      </c>
      <c r="B121" s="117" t="s">
        <v>36</v>
      </c>
      <c r="C121" s="132"/>
      <c r="D121" s="132"/>
      <c r="E121" s="132"/>
      <c r="F121" s="358">
        <v>62631697</v>
      </c>
    </row>
    <row r="122" spans="1:6" ht="12.3" x14ac:dyDescent="0.4">
      <c r="A122" s="133"/>
      <c r="B122" s="132"/>
      <c r="C122" s="132"/>
      <c r="D122" s="132"/>
      <c r="E122" s="132"/>
      <c r="F122" s="92"/>
    </row>
    <row r="123" spans="1:6" ht="12.3" x14ac:dyDescent="0.4">
      <c r="A123" s="133" t="s">
        <v>175</v>
      </c>
      <c r="B123" s="117" t="s">
        <v>20</v>
      </c>
      <c r="C123" s="132"/>
      <c r="D123" s="132"/>
      <c r="E123" s="132"/>
      <c r="F123" s="358">
        <v>518118</v>
      </c>
    </row>
    <row r="124" spans="1:6" ht="12.3" x14ac:dyDescent="0.4">
      <c r="A124" s="133"/>
      <c r="B124" s="132"/>
      <c r="C124" s="132"/>
      <c r="D124" s="132"/>
      <c r="E124" s="132"/>
      <c r="F124" s="92"/>
    </row>
    <row r="125" spans="1:6" ht="12.3" x14ac:dyDescent="0.4">
      <c r="A125" s="133" t="s">
        <v>176</v>
      </c>
      <c r="B125" s="117" t="s">
        <v>21</v>
      </c>
      <c r="C125" s="132"/>
      <c r="D125" s="132"/>
      <c r="E125" s="132"/>
      <c r="F125" s="358">
        <v>1414300</v>
      </c>
    </row>
    <row r="126" spans="1:6" ht="12.3" x14ac:dyDescent="0.4">
      <c r="A126" s="133"/>
      <c r="B126" s="132"/>
      <c r="C126" s="132"/>
      <c r="D126" s="132"/>
      <c r="E126" s="132"/>
      <c r="F126" s="92"/>
    </row>
    <row r="127" spans="1:6" ht="12.3" x14ac:dyDescent="0.4">
      <c r="A127" s="133" t="s">
        <v>177</v>
      </c>
      <c r="B127" s="117" t="s">
        <v>22</v>
      </c>
      <c r="C127" s="132"/>
      <c r="D127" s="132"/>
      <c r="E127" s="132"/>
      <c r="F127" s="358">
        <v>1932418</v>
      </c>
    </row>
    <row r="128" spans="1:6" ht="12.3" x14ac:dyDescent="0.4">
      <c r="A128" s="133"/>
      <c r="B128" s="132"/>
      <c r="C128" s="132"/>
      <c r="D128" s="132"/>
      <c r="E128" s="132"/>
      <c r="F128" s="375"/>
    </row>
    <row r="129" spans="1:11" ht="42.75" customHeight="1" x14ac:dyDescent="0.4">
      <c r="A129" s="132"/>
      <c r="B129" s="132"/>
      <c r="C129" s="132"/>
      <c r="D129" s="132"/>
      <c r="E129" s="132"/>
      <c r="F129" s="376" t="s">
        <v>9</v>
      </c>
      <c r="G129" s="376" t="s">
        <v>37</v>
      </c>
      <c r="H129" s="119" t="s">
        <v>29</v>
      </c>
      <c r="I129" s="119" t="s">
        <v>30</v>
      </c>
      <c r="J129" s="576" t="s">
        <v>33</v>
      </c>
      <c r="K129" s="577" t="s">
        <v>34</v>
      </c>
    </row>
    <row r="130" spans="1:11" ht="18" customHeight="1" x14ac:dyDescent="0.4">
      <c r="A130" s="118" t="s">
        <v>157</v>
      </c>
      <c r="B130" s="117" t="s">
        <v>23</v>
      </c>
      <c r="C130" s="132"/>
      <c r="D130" s="132"/>
      <c r="E130" s="132"/>
      <c r="F130" s="375"/>
      <c r="G130" s="375"/>
      <c r="H130" s="132"/>
      <c r="I130" s="132"/>
      <c r="J130" s="574"/>
      <c r="K130" s="575"/>
    </row>
    <row r="131" spans="1:11" ht="18" customHeight="1" x14ac:dyDescent="0.4">
      <c r="A131" s="133" t="s">
        <v>158</v>
      </c>
      <c r="B131" s="132" t="s">
        <v>24</v>
      </c>
      <c r="C131" s="132"/>
      <c r="D131" s="132"/>
      <c r="E131" s="132"/>
      <c r="F131" s="326">
        <v>0</v>
      </c>
      <c r="G131" s="326">
        <v>0</v>
      </c>
      <c r="H131" s="327">
        <v>213292.56</v>
      </c>
      <c r="I131" s="130">
        <v>0</v>
      </c>
      <c r="J131" s="578">
        <v>0</v>
      </c>
      <c r="K131" s="328">
        <v>213292.56</v>
      </c>
    </row>
    <row r="132" spans="1:11" ht="18" customHeight="1" x14ac:dyDescent="0.4">
      <c r="A132" s="133" t="s">
        <v>159</v>
      </c>
      <c r="B132" s="132" t="s">
        <v>25</v>
      </c>
      <c r="C132" s="132"/>
      <c r="D132" s="132"/>
      <c r="E132" s="132"/>
      <c r="F132" s="326"/>
      <c r="G132" s="326"/>
      <c r="H132" s="327"/>
      <c r="I132" s="130">
        <v>0</v>
      </c>
      <c r="J132" s="578"/>
      <c r="K132" s="328">
        <v>0</v>
      </c>
    </row>
    <row r="133" spans="1:11" ht="18" customHeight="1" x14ac:dyDescent="0.4">
      <c r="A133" s="133" t="s">
        <v>160</v>
      </c>
      <c r="B133" s="696"/>
      <c r="C133" s="697"/>
      <c r="D133" s="698"/>
      <c r="E133" s="132"/>
      <c r="F133" s="326"/>
      <c r="G133" s="326"/>
      <c r="H133" s="327"/>
      <c r="I133" s="130">
        <v>0</v>
      </c>
      <c r="J133" s="578"/>
      <c r="K133" s="328">
        <v>0</v>
      </c>
    </row>
    <row r="134" spans="1:11" ht="18" customHeight="1" x14ac:dyDescent="0.4">
      <c r="A134" s="133" t="s">
        <v>161</v>
      </c>
      <c r="B134" s="696"/>
      <c r="C134" s="697"/>
      <c r="D134" s="698"/>
      <c r="E134" s="132"/>
      <c r="F134" s="326"/>
      <c r="G134" s="326"/>
      <c r="H134" s="327"/>
      <c r="I134" s="130">
        <v>0</v>
      </c>
      <c r="J134" s="578"/>
      <c r="K134" s="328">
        <v>0</v>
      </c>
    </row>
    <row r="135" spans="1:11" ht="18" customHeight="1" x14ac:dyDescent="0.4">
      <c r="A135" s="133" t="s">
        <v>162</v>
      </c>
      <c r="B135" s="696"/>
      <c r="C135" s="697"/>
      <c r="D135" s="698"/>
      <c r="E135" s="132"/>
      <c r="F135" s="326"/>
      <c r="G135" s="326"/>
      <c r="H135" s="327"/>
      <c r="I135" s="130">
        <v>0</v>
      </c>
      <c r="J135" s="578"/>
      <c r="K135" s="328">
        <v>0</v>
      </c>
    </row>
    <row r="136" spans="1:11" ht="18" customHeight="1" x14ac:dyDescent="0.4">
      <c r="A136" s="118"/>
      <c r="B136" s="132"/>
      <c r="C136" s="132"/>
      <c r="D136" s="132"/>
      <c r="E136" s="132"/>
      <c r="F136" s="375"/>
      <c r="G136" s="375"/>
      <c r="H136" s="132"/>
      <c r="I136" s="132"/>
      <c r="J136" s="574"/>
      <c r="K136" s="575"/>
    </row>
    <row r="137" spans="1:11" ht="18" customHeight="1" x14ac:dyDescent="0.4">
      <c r="A137" s="118" t="s">
        <v>163</v>
      </c>
      <c r="B137" s="117" t="s">
        <v>27</v>
      </c>
      <c r="C137" s="132"/>
      <c r="D137" s="132"/>
      <c r="E137" s="132"/>
      <c r="F137" s="329">
        <v>0</v>
      </c>
      <c r="G137" s="329">
        <v>0</v>
      </c>
      <c r="H137" s="328">
        <v>213292.56</v>
      </c>
      <c r="I137" s="328">
        <v>0</v>
      </c>
      <c r="J137" s="579">
        <v>0</v>
      </c>
      <c r="K137" s="328">
        <v>213292.56</v>
      </c>
    </row>
    <row r="138" spans="1:11" ht="18" customHeight="1" x14ac:dyDescent="0.4">
      <c r="A138" s="132"/>
      <c r="B138" s="132"/>
      <c r="C138" s="132"/>
      <c r="D138" s="132"/>
      <c r="E138" s="132"/>
      <c r="F138" s="375"/>
      <c r="G138" s="375"/>
      <c r="H138" s="132"/>
      <c r="I138" s="132"/>
      <c r="J138" s="574"/>
      <c r="K138" s="575"/>
    </row>
    <row r="139" spans="1:11" ht="42.75" customHeight="1" x14ac:dyDescent="0.4">
      <c r="A139" s="132"/>
      <c r="B139" s="132"/>
      <c r="C139" s="132"/>
      <c r="D139" s="132"/>
      <c r="E139" s="132"/>
      <c r="F139" s="376" t="s">
        <v>9</v>
      </c>
      <c r="G139" s="376" t="s">
        <v>37</v>
      </c>
      <c r="H139" s="576" t="s">
        <v>29</v>
      </c>
      <c r="I139" s="119" t="s">
        <v>30</v>
      </c>
      <c r="J139" s="576" t="s">
        <v>33</v>
      </c>
      <c r="K139" s="577" t="s">
        <v>34</v>
      </c>
    </row>
    <row r="140" spans="1:11" ht="18" customHeight="1" x14ac:dyDescent="0.4">
      <c r="A140" s="118" t="s">
        <v>166</v>
      </c>
      <c r="B140" s="117" t="s">
        <v>26</v>
      </c>
      <c r="C140" s="132"/>
      <c r="D140" s="132"/>
      <c r="E140" s="132"/>
      <c r="F140" s="375"/>
      <c r="G140" s="375"/>
      <c r="H140" s="574"/>
      <c r="I140" s="132"/>
      <c r="J140" s="574"/>
      <c r="K140" s="575"/>
    </row>
    <row r="141" spans="1:11" ht="18" customHeight="1" x14ac:dyDescent="0.4">
      <c r="A141" s="133" t="s">
        <v>137</v>
      </c>
      <c r="B141" s="117" t="s">
        <v>64</v>
      </c>
      <c r="C141" s="132"/>
      <c r="D141" s="132"/>
      <c r="E141" s="132"/>
      <c r="F141" s="125">
        <v>2657.75</v>
      </c>
      <c r="G141" s="125">
        <v>46765</v>
      </c>
      <c r="H141" s="599">
        <v>128163.92187499999</v>
      </c>
      <c r="I141" s="216">
        <v>47406.460937499993</v>
      </c>
      <c r="J141" s="124">
        <v>0</v>
      </c>
      <c r="K141" s="124">
        <v>175570.3828125</v>
      </c>
    </row>
    <row r="142" spans="1:11" ht="18" customHeight="1" x14ac:dyDescent="0.4">
      <c r="A142" s="133" t="s">
        <v>142</v>
      </c>
      <c r="B142" s="117" t="s">
        <v>65</v>
      </c>
      <c r="C142" s="132"/>
      <c r="D142" s="132"/>
      <c r="E142" s="132"/>
      <c r="F142" s="125">
        <v>6578.5</v>
      </c>
      <c r="G142" s="125">
        <v>626</v>
      </c>
      <c r="H142" s="599">
        <v>305031.55625000002</v>
      </c>
      <c r="I142" s="216">
        <v>146515.77812500001</v>
      </c>
      <c r="J142" s="124">
        <v>0</v>
      </c>
      <c r="K142" s="124">
        <v>451547.33437499998</v>
      </c>
    </row>
    <row r="143" spans="1:11" ht="18" customHeight="1" x14ac:dyDescent="0.4">
      <c r="A143" s="133" t="s">
        <v>144</v>
      </c>
      <c r="B143" s="117" t="s">
        <v>66</v>
      </c>
      <c r="C143" s="132"/>
      <c r="D143" s="132"/>
      <c r="E143" s="132"/>
      <c r="F143" s="125">
        <v>10987</v>
      </c>
      <c r="G143" s="125">
        <v>1176</v>
      </c>
      <c r="H143" s="599">
        <v>530030.91689401458</v>
      </c>
      <c r="I143" s="216">
        <v>265015.45844700729</v>
      </c>
      <c r="J143" s="124">
        <v>263890.34959588805</v>
      </c>
      <c r="K143" s="124">
        <v>531156.02574513375</v>
      </c>
    </row>
    <row r="144" spans="1:11" ht="18" customHeight="1" x14ac:dyDescent="0.4">
      <c r="A144" s="133" t="s">
        <v>146</v>
      </c>
      <c r="B144" s="117" t="s">
        <v>67</v>
      </c>
      <c r="C144" s="132"/>
      <c r="D144" s="132"/>
      <c r="E144" s="132"/>
      <c r="F144" s="125">
        <v>118.5</v>
      </c>
      <c r="G144" s="125">
        <v>94</v>
      </c>
      <c r="H144" s="124">
        <v>4068.875</v>
      </c>
      <c r="I144" s="216">
        <v>2034.4375</v>
      </c>
      <c r="J144" s="124">
        <v>0</v>
      </c>
      <c r="K144" s="124">
        <v>6103.3125</v>
      </c>
    </row>
    <row r="145" spans="1:11" ht="18" customHeight="1" x14ac:dyDescent="0.4">
      <c r="A145" s="133" t="s">
        <v>148</v>
      </c>
      <c r="B145" s="117" t="s">
        <v>68</v>
      </c>
      <c r="C145" s="132"/>
      <c r="D145" s="132"/>
      <c r="E145" s="132"/>
      <c r="F145" s="125">
        <v>376</v>
      </c>
      <c r="G145" s="125">
        <v>1050</v>
      </c>
      <c r="H145" s="124">
        <v>19365.45</v>
      </c>
      <c r="I145" s="216">
        <v>6682.7250000000004</v>
      </c>
      <c r="J145" s="124">
        <v>0</v>
      </c>
      <c r="K145" s="124">
        <v>26048.175000000003</v>
      </c>
    </row>
    <row r="146" spans="1:11" ht="18" customHeight="1" x14ac:dyDescent="0.4">
      <c r="A146" s="133" t="s">
        <v>150</v>
      </c>
      <c r="B146" s="117" t="s">
        <v>69</v>
      </c>
      <c r="C146" s="132"/>
      <c r="D146" s="132"/>
      <c r="E146" s="132"/>
      <c r="F146" s="125">
        <v>2044.625</v>
      </c>
      <c r="G146" s="125">
        <v>600</v>
      </c>
      <c r="H146" s="124">
        <v>202157.01666082517</v>
      </c>
      <c r="I146" s="216">
        <v>51643.434358974358</v>
      </c>
      <c r="J146" s="124">
        <v>0</v>
      </c>
      <c r="K146" s="124">
        <v>253800.45101979951</v>
      </c>
    </row>
    <row r="147" spans="1:11" ht="18" customHeight="1" x14ac:dyDescent="0.4">
      <c r="A147" s="133" t="s">
        <v>153</v>
      </c>
      <c r="B147" s="117" t="s">
        <v>61</v>
      </c>
      <c r="C147" s="132"/>
      <c r="D147" s="132"/>
      <c r="E147" s="132"/>
      <c r="F147" s="329">
        <v>2658</v>
      </c>
      <c r="G147" s="329">
        <v>0</v>
      </c>
      <c r="H147" s="328">
        <v>92662.449999999983</v>
      </c>
      <c r="I147" s="355">
        <v>46331.224999999991</v>
      </c>
      <c r="J147" s="328">
        <v>0</v>
      </c>
      <c r="K147" s="328">
        <v>138993.67499999999</v>
      </c>
    </row>
    <row r="148" spans="1:11" ht="18" customHeight="1" x14ac:dyDescent="0.4">
      <c r="A148" s="133" t="s">
        <v>155</v>
      </c>
      <c r="B148" s="117" t="s">
        <v>70</v>
      </c>
      <c r="C148" s="132"/>
      <c r="D148" s="132"/>
      <c r="E148" s="132"/>
      <c r="F148" s="126" t="s">
        <v>73</v>
      </c>
      <c r="G148" s="126" t="s">
        <v>73</v>
      </c>
      <c r="H148" s="600" t="s">
        <v>73</v>
      </c>
      <c r="I148" s="127" t="s">
        <v>73</v>
      </c>
      <c r="J148" s="127" t="s">
        <v>73</v>
      </c>
      <c r="K148" s="124">
        <v>65146</v>
      </c>
    </row>
    <row r="149" spans="1:11" ht="18" customHeight="1" x14ac:dyDescent="0.4">
      <c r="A149" s="133" t="s">
        <v>163</v>
      </c>
      <c r="B149" s="117" t="s">
        <v>71</v>
      </c>
      <c r="C149" s="132"/>
      <c r="D149" s="132"/>
      <c r="E149" s="132"/>
      <c r="F149" s="329">
        <v>0</v>
      </c>
      <c r="G149" s="329">
        <v>0</v>
      </c>
      <c r="H149" s="328">
        <v>213292.56</v>
      </c>
      <c r="I149" s="579">
        <v>0</v>
      </c>
      <c r="J149" s="328">
        <v>0</v>
      </c>
      <c r="K149" s="328">
        <v>213292.56</v>
      </c>
    </row>
    <row r="150" spans="1:11" ht="18" customHeight="1" x14ac:dyDescent="0.4">
      <c r="A150" s="133" t="s">
        <v>185</v>
      </c>
      <c r="B150" s="117" t="s">
        <v>186</v>
      </c>
      <c r="C150" s="132"/>
      <c r="D150" s="132"/>
      <c r="E150" s="132"/>
      <c r="F150" s="126" t="s">
        <v>73</v>
      </c>
      <c r="G150" s="126" t="s">
        <v>73</v>
      </c>
      <c r="H150" s="328">
        <v>0</v>
      </c>
      <c r="I150" s="579">
        <v>0</v>
      </c>
      <c r="J150" s="328">
        <v>0</v>
      </c>
      <c r="K150" s="328">
        <v>0</v>
      </c>
    </row>
    <row r="151" spans="1:11" ht="18" customHeight="1" x14ac:dyDescent="0.4">
      <c r="A151" s="132"/>
      <c r="B151" s="117"/>
      <c r="C151" s="132"/>
      <c r="D151" s="132"/>
      <c r="E151" s="132"/>
      <c r="F151" s="378"/>
      <c r="G151" s="378"/>
      <c r="H151" s="586"/>
      <c r="I151" s="586"/>
      <c r="J151" s="587"/>
      <c r="K151" s="587"/>
    </row>
    <row r="152" spans="1:11" ht="18" customHeight="1" x14ac:dyDescent="0.4">
      <c r="A152" s="118" t="s">
        <v>165</v>
      </c>
      <c r="B152" s="117" t="s">
        <v>26</v>
      </c>
      <c r="C152" s="132"/>
      <c r="D152" s="132"/>
      <c r="E152" s="132"/>
      <c r="F152" s="129">
        <v>25420.375</v>
      </c>
      <c r="G152" s="129">
        <v>50311</v>
      </c>
      <c r="H152" s="601">
        <v>1494772.7466798397</v>
      </c>
      <c r="I152" s="601">
        <v>565629.51936848159</v>
      </c>
      <c r="J152" s="601">
        <v>263890.34959588805</v>
      </c>
      <c r="K152" s="601">
        <v>1861657.9164524334</v>
      </c>
    </row>
    <row r="153" spans="1:11" ht="18" customHeight="1" x14ac:dyDescent="0.4">
      <c r="H153" s="598"/>
    </row>
    <row r="154" spans="1:11" ht="18" customHeight="1" x14ac:dyDescent="0.4">
      <c r="A154" s="118" t="s">
        <v>168</v>
      </c>
      <c r="B154" s="117" t="s">
        <v>28</v>
      </c>
      <c r="C154" s="132"/>
      <c r="D154" s="132"/>
      <c r="E154" s="132"/>
      <c r="F154" s="318">
        <v>2.9723893900758164E-2</v>
      </c>
      <c r="G154" s="375"/>
      <c r="H154" s="574"/>
      <c r="I154" s="132"/>
      <c r="J154" s="574"/>
      <c r="K154" s="575"/>
    </row>
    <row r="155" spans="1:11" ht="18" customHeight="1" x14ac:dyDescent="0.4">
      <c r="A155" s="118" t="s">
        <v>169</v>
      </c>
      <c r="B155" s="117" t="s">
        <v>72</v>
      </c>
      <c r="C155" s="132"/>
      <c r="D155" s="132"/>
      <c r="E155" s="132"/>
      <c r="F155" s="318">
        <v>0.96338262035047983</v>
      </c>
      <c r="G155" s="379"/>
      <c r="H155" s="574"/>
      <c r="I155" s="132"/>
      <c r="J155" s="574"/>
      <c r="K155" s="575"/>
    </row>
    <row r="156" spans="1:11" ht="18" customHeight="1" x14ac:dyDescent="0.4">
      <c r="A156" s="132"/>
      <c r="B156" s="132"/>
      <c r="C156" s="132"/>
      <c r="D156" s="132"/>
      <c r="E156" s="132"/>
      <c r="F156" s="375"/>
      <c r="G156" s="379"/>
      <c r="H156" s="574"/>
      <c r="I156" s="132"/>
      <c r="J156" s="574"/>
      <c r="K156" s="575"/>
    </row>
  </sheetData>
  <mergeCells count="33">
    <mergeCell ref="D2:H2"/>
    <mergeCell ref="B45:D45"/>
    <mergeCell ref="B46:D46"/>
    <mergeCell ref="B47:D47"/>
    <mergeCell ref="B34:D34"/>
    <mergeCell ref="C5:G5"/>
    <mergeCell ref="C6:G6"/>
    <mergeCell ref="C7:G7"/>
    <mergeCell ref="C9:G9"/>
    <mergeCell ref="C10:G10"/>
    <mergeCell ref="C11:G11"/>
    <mergeCell ref="B41:C41"/>
    <mergeCell ref="B44:D44"/>
    <mergeCell ref="B55:D55"/>
    <mergeCell ref="B52:C52"/>
    <mergeCell ref="B53:D53"/>
    <mergeCell ref="B30:D30"/>
    <mergeCell ref="B31:D31"/>
    <mergeCell ref="B134:D134"/>
    <mergeCell ref="B135:D135"/>
    <mergeCell ref="B90:C90"/>
    <mergeCell ref="B56:D56"/>
    <mergeCell ref="B133:D133"/>
    <mergeCell ref="B104:D104"/>
    <mergeCell ref="B105:D105"/>
    <mergeCell ref="B106:D106"/>
    <mergeCell ref="B62:D62"/>
    <mergeCell ref="B103:C103"/>
    <mergeCell ref="B96:D96"/>
    <mergeCell ref="B95:D95"/>
    <mergeCell ref="B94:D94"/>
    <mergeCell ref="B59:D59"/>
    <mergeCell ref="B57:D57"/>
  </mergeCells>
  <hyperlinks>
    <hyperlink ref="C11" r:id="rId1" xr:uid="{865FDAAC-B454-4EC5-B72C-4987AEF8509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7" tint="-0.249977111117893"/>
    <pageSetUpPr fitToPage="1"/>
  </sheetPr>
  <dimension ref="A1:K64"/>
  <sheetViews>
    <sheetView zoomScale="80" zoomScaleNormal="80" workbookViewId="0">
      <pane xSplit="2" ySplit="2" topLeftCell="C3" activePane="bottomRight" state="frozen"/>
      <selection pane="topRight" activeCell="C1" sqref="C1"/>
      <selection pane="bottomLeft" activeCell="A3" sqref="A3"/>
      <selection pane="bottomRight" activeCell="A2" sqref="A2"/>
    </sheetView>
  </sheetViews>
  <sheetFormatPr defaultColWidth="9.27734375" defaultRowHeight="14.4" x14ac:dyDescent="0.55000000000000004"/>
  <cols>
    <col min="1" max="1" width="18.609375" style="2" customWidth="1"/>
    <col min="2" max="2" width="57.38671875" style="2" bestFit="1" customWidth="1"/>
    <col min="3" max="3" width="14" style="18" bestFit="1" customWidth="1"/>
    <col min="4" max="4" width="16.38671875" style="2" customWidth="1"/>
    <col min="5" max="5" width="21" style="13" customWidth="1"/>
    <col min="6" max="6" width="20.71875" style="13" customWidth="1"/>
    <col min="7" max="7" width="15.27734375" style="4" customWidth="1"/>
    <col min="8" max="8" width="23.609375" style="20" customWidth="1"/>
    <col min="9" max="9" width="30.609375" style="7" customWidth="1"/>
    <col min="10" max="10" width="18.27734375" style="13" bestFit="1" customWidth="1"/>
    <col min="11" max="11" width="18.27734375" style="2" bestFit="1" customWidth="1"/>
    <col min="12" max="16384" width="9.27734375" style="2"/>
  </cols>
  <sheetData>
    <row r="1" spans="1:11" ht="27.75" customHeight="1" x14ac:dyDescent="0.55000000000000004">
      <c r="A1" s="618" t="s">
        <v>855</v>
      </c>
      <c r="B1" s="618"/>
      <c r="C1" s="618"/>
    </row>
    <row r="2" spans="1:11" s="5" customFormat="1" ht="72" x14ac:dyDescent="0.55000000000000004">
      <c r="A2" s="286" t="s">
        <v>193</v>
      </c>
      <c r="B2" s="286" t="s">
        <v>194</v>
      </c>
      <c r="C2" s="286" t="s">
        <v>493</v>
      </c>
      <c r="D2" s="286" t="s">
        <v>494</v>
      </c>
      <c r="E2" s="287" t="s">
        <v>218</v>
      </c>
      <c r="F2" s="287" t="s">
        <v>495</v>
      </c>
      <c r="G2" s="288" t="s">
        <v>219</v>
      </c>
      <c r="H2" s="286" t="s">
        <v>856</v>
      </c>
      <c r="I2" s="289" t="s">
        <v>496</v>
      </c>
      <c r="J2" s="288" t="s">
        <v>220</v>
      </c>
      <c r="K2" s="287" t="s">
        <v>221</v>
      </c>
    </row>
    <row r="3" spans="1:11" ht="15.3" x14ac:dyDescent="0.55000000000000004">
      <c r="A3" s="257">
        <v>210001</v>
      </c>
      <c r="B3" s="257" t="s">
        <v>191</v>
      </c>
      <c r="C3" s="290">
        <f>'#1-Meritus'!$C$7</f>
        <v>2826</v>
      </c>
      <c r="D3" s="290">
        <f>'#1-Meritus'!$F$108</f>
        <v>318.8</v>
      </c>
      <c r="E3" s="291">
        <f>'#1-Meritus'!$F$121</f>
        <v>399338982</v>
      </c>
      <c r="F3" s="292">
        <f>'#1-Meritus'!$K$152</f>
        <v>57109548.761212014</v>
      </c>
      <c r="G3" s="293">
        <f t="shared" ref="G3:G34" si="0">F3/E3</f>
        <v>0.14301020269844833</v>
      </c>
      <c r="H3" s="294">
        <f>'Rate Support-Attachment I'!F3</f>
        <v>5652147.4732154282</v>
      </c>
      <c r="I3" s="295">
        <f t="shared" ref="I3:I34" si="1">F3-H3</f>
        <v>51457401.287996583</v>
      </c>
      <c r="J3" s="296">
        <f t="shared" ref="J3:J34" si="2">I3/E3</f>
        <v>0.12885644429272519</v>
      </c>
      <c r="K3" s="291">
        <f>'#1-Meritus'!$F$111</f>
        <v>5453564.2300000004</v>
      </c>
    </row>
    <row r="4" spans="1:11" ht="15.3" x14ac:dyDescent="0.55000000000000004">
      <c r="A4" s="261" t="s">
        <v>556</v>
      </c>
      <c r="B4" s="257" t="s">
        <v>557</v>
      </c>
      <c r="C4" s="290">
        <f>'#2-UMMC'!$C$7</f>
        <v>9010</v>
      </c>
      <c r="D4" s="290">
        <f>'#2-UMMC'!$F$108</f>
        <v>2748.8</v>
      </c>
      <c r="E4" s="291">
        <f>'#2-UMMC'!$F$121</f>
        <v>1692179000</v>
      </c>
      <c r="F4" s="292">
        <f>'#2-UMMC'!$K$152</f>
        <v>235720078.91361654</v>
      </c>
      <c r="G4" s="293">
        <f t="shared" si="0"/>
        <v>0.13929973065119974</v>
      </c>
      <c r="H4" s="294">
        <f>'Rate Support-Attachment I'!F4</f>
        <v>142848537.2109772</v>
      </c>
      <c r="I4" s="295">
        <f t="shared" si="1"/>
        <v>92871541.702639341</v>
      </c>
      <c r="J4" s="296">
        <f t="shared" si="2"/>
        <v>5.4882811867207511E-2</v>
      </c>
      <c r="K4" s="291">
        <f>'#2-UMMC'!$F$111</f>
        <v>21239000</v>
      </c>
    </row>
    <row r="5" spans="1:11" ht="15.3" x14ac:dyDescent="0.55000000000000004">
      <c r="A5" s="261" t="s">
        <v>558</v>
      </c>
      <c r="B5" s="257" t="s">
        <v>593</v>
      </c>
      <c r="C5" s="290">
        <f>'#3-Prince Georges Hospital'!$C$7</f>
        <v>2500</v>
      </c>
      <c r="D5" s="290">
        <f>'#3-Prince Georges Hospital'!$F$108</f>
        <v>4160</v>
      </c>
      <c r="E5" s="291">
        <f>'#3-Prince Georges Hospital'!$F$121</f>
        <v>322178000</v>
      </c>
      <c r="F5" s="292">
        <f>'#3-Prince Georges Hospital'!$K$152</f>
        <v>54771319.707585089</v>
      </c>
      <c r="G5" s="293">
        <f t="shared" si="0"/>
        <v>0.17000328919909208</v>
      </c>
      <c r="H5" s="294">
        <f>'Rate Support-Attachment I'!F5</f>
        <v>15468345.366835311</v>
      </c>
      <c r="I5" s="295">
        <f t="shared" si="1"/>
        <v>39302974.340749778</v>
      </c>
      <c r="J5" s="296">
        <f t="shared" si="2"/>
        <v>0.12199149023443494</v>
      </c>
      <c r="K5" s="291">
        <f>'#3-Prince Georges Hospital'!$F$111</f>
        <v>9170000</v>
      </c>
    </row>
    <row r="6" spans="1:11" ht="15.3" x14ac:dyDescent="0.55000000000000004">
      <c r="A6" s="257">
        <v>210004</v>
      </c>
      <c r="B6" s="257" t="s">
        <v>450</v>
      </c>
      <c r="C6" s="290">
        <f>'#4-Holy Cross Hospital'!$C$7</f>
        <v>3333</v>
      </c>
      <c r="D6" s="290">
        <f>'#4-Holy Cross Hospital'!$F$108</f>
        <v>6259</v>
      </c>
      <c r="E6" s="291">
        <f>'#4-Holy Cross Hospital'!$F$121</f>
        <v>453889368</v>
      </c>
      <c r="F6" s="292">
        <f>'#4-Holy Cross Hospital'!$K$152</f>
        <v>46698333.410000004</v>
      </c>
      <c r="G6" s="293">
        <f t="shared" si="0"/>
        <v>0.10288483648729134</v>
      </c>
      <c r="H6" s="294">
        <f>'Rate Support-Attachment I'!F6</f>
        <v>28085292.358233526</v>
      </c>
      <c r="I6" s="295">
        <f t="shared" si="1"/>
        <v>18613041.051766478</v>
      </c>
      <c r="J6" s="296">
        <f t="shared" si="2"/>
        <v>4.1007880695206056E-2</v>
      </c>
      <c r="K6" s="291">
        <f>'#4-Holy Cross Hospital'!$F$111</f>
        <v>30178692</v>
      </c>
    </row>
    <row r="7" spans="1:11" ht="15.3" x14ac:dyDescent="0.55000000000000004">
      <c r="A7" s="257">
        <v>210005</v>
      </c>
      <c r="B7" s="257" t="s">
        <v>559</v>
      </c>
      <c r="C7" s="290">
        <f>'#5-Frederick Memorial Hospital'!$C$7</f>
        <v>2390</v>
      </c>
      <c r="D7" s="290">
        <f>'#5-Frederick Memorial Hospital'!$F$108</f>
        <v>192</v>
      </c>
      <c r="E7" s="291">
        <f>'#5-Frederick Memorial Hospital'!$F$121</f>
        <v>356515000</v>
      </c>
      <c r="F7" s="292">
        <f>'#5-Frederick Memorial Hospital'!$K$152</f>
        <v>30593551.259199999</v>
      </c>
      <c r="G7" s="293">
        <f t="shared" si="0"/>
        <v>8.5812802432436219E-2</v>
      </c>
      <c r="H7" s="294">
        <f>'Rate Support-Attachment I'!F7</f>
        <v>6216126.2934526801</v>
      </c>
      <c r="I7" s="295">
        <f t="shared" si="1"/>
        <v>24377424.965747319</v>
      </c>
      <c r="J7" s="296">
        <f t="shared" si="2"/>
        <v>6.837699666422821E-2</v>
      </c>
      <c r="K7" s="291">
        <f>'#5-Frederick Memorial Hospital'!$F$111</f>
        <v>7159000</v>
      </c>
    </row>
    <row r="8" spans="1:11" ht="15.3" x14ac:dyDescent="0.55000000000000004">
      <c r="A8" s="257">
        <v>210006</v>
      </c>
      <c r="B8" s="257" t="s">
        <v>560</v>
      </c>
      <c r="C8" s="290">
        <f>'#6-UM Harford Memorial'!$C$7</f>
        <v>787</v>
      </c>
      <c r="D8" s="290">
        <f>'#6-UM Harford Memorial'!$F$108</f>
        <v>930</v>
      </c>
      <c r="E8" s="291">
        <f>'#6-UM Harford Memorial'!$F$121</f>
        <v>88580314</v>
      </c>
      <c r="F8" s="292">
        <f>'#6-UM Harford Memorial'!$K$152</f>
        <v>9172043.398</v>
      </c>
      <c r="G8" s="293">
        <f t="shared" si="0"/>
        <v>0.10354494112540626</v>
      </c>
      <c r="H8" s="294">
        <f>'Rate Support-Attachment I'!F8</f>
        <v>1936514.5046737897</v>
      </c>
      <c r="I8" s="295">
        <f t="shared" si="1"/>
        <v>7235528.8933262099</v>
      </c>
      <c r="J8" s="296">
        <f t="shared" si="2"/>
        <v>8.1683260835203289E-2</v>
      </c>
      <c r="K8" s="291">
        <f>'#6-UM Harford Memorial'!$F$111</f>
        <v>1818538</v>
      </c>
    </row>
    <row r="9" spans="1:11" ht="15.3" x14ac:dyDescent="0.55000000000000004">
      <c r="A9" s="257">
        <v>210008</v>
      </c>
      <c r="B9" s="257" t="s">
        <v>561</v>
      </c>
      <c r="C9" s="290">
        <f>'#8-Mercy'!$C$7</f>
        <v>3539</v>
      </c>
      <c r="D9" s="290">
        <f>'#8-Mercy'!$F$108</f>
        <v>2723</v>
      </c>
      <c r="E9" s="291">
        <f>'#8-Mercy'!$F$121</f>
        <v>492374189</v>
      </c>
      <c r="F9" s="292">
        <f>'#8-Mercy'!$K$152</f>
        <v>71666596.753523201</v>
      </c>
      <c r="G9" s="293">
        <f t="shared" si="0"/>
        <v>0.14555311459172204</v>
      </c>
      <c r="H9" s="294">
        <f>'Rate Support-Attachment I'!F9</f>
        <v>23584218.950593606</v>
      </c>
      <c r="I9" s="295">
        <f t="shared" si="1"/>
        <v>48082377.802929595</v>
      </c>
      <c r="J9" s="296">
        <f t="shared" si="2"/>
        <v>9.7654139630234754E-2</v>
      </c>
      <c r="K9" s="291">
        <f>'#8-Mercy'!$F$111</f>
        <v>17767062</v>
      </c>
    </row>
    <row r="10" spans="1:11" ht="15.3" x14ac:dyDescent="0.55000000000000004">
      <c r="A10" s="257">
        <v>210009</v>
      </c>
      <c r="B10" s="257" t="s">
        <v>451</v>
      </c>
      <c r="C10" s="290">
        <f>'#9-Johns Hopkins'!$C$7</f>
        <v>0</v>
      </c>
      <c r="D10" s="290">
        <f>'#9-Johns Hopkins'!$F$108</f>
        <v>6333.5</v>
      </c>
      <c r="E10" s="291">
        <f>'#9-Johns Hopkins'!$F$121</f>
        <v>2658945000</v>
      </c>
      <c r="F10" s="292">
        <f>'#9-Johns Hopkins'!$K$152</f>
        <v>311170743.81427777</v>
      </c>
      <c r="G10" s="293">
        <f t="shared" si="0"/>
        <v>0.11702789783702851</v>
      </c>
      <c r="H10" s="294">
        <f>'Rate Support-Attachment I'!F10</f>
        <v>156958957.41837516</v>
      </c>
      <c r="I10" s="295">
        <f t="shared" si="1"/>
        <v>154211786.3959026</v>
      </c>
      <c r="J10" s="296">
        <f t="shared" si="2"/>
        <v>5.7997358499669083E-2</v>
      </c>
      <c r="K10" s="291">
        <f>'#9-Johns Hopkins'!$F$111</f>
        <v>35067000</v>
      </c>
    </row>
    <row r="11" spans="1:11" ht="15.3" x14ac:dyDescent="0.55000000000000004">
      <c r="A11" s="257">
        <v>210010</v>
      </c>
      <c r="B11" s="257" t="s">
        <v>562</v>
      </c>
      <c r="C11" s="290">
        <f>'#10-UM Shore Health Dorchester'!$C$7</f>
        <v>269</v>
      </c>
      <c r="D11" s="290">
        <f>'#10-UM Shore Health Dorchester'!$F$108</f>
        <v>2160</v>
      </c>
      <c r="E11" s="291">
        <f>'#10-UM Shore Health Dorchester'!$F$121</f>
        <v>34558000</v>
      </c>
      <c r="F11" s="292">
        <f>'#10-UM Shore Health Dorchester'!$K$152</f>
        <v>11326735.302504465</v>
      </c>
      <c r="G11" s="293">
        <f t="shared" si="0"/>
        <v>0.32776015112287937</v>
      </c>
      <c r="H11" s="294">
        <f>'Rate Support-Attachment I'!F11</f>
        <v>482396.40562632447</v>
      </c>
      <c r="I11" s="295">
        <f t="shared" si="1"/>
        <v>10844338.89687814</v>
      </c>
      <c r="J11" s="296">
        <f t="shared" si="2"/>
        <v>0.31380111397876442</v>
      </c>
      <c r="K11" s="291">
        <f>'#10-UM Shore Health Dorchester'!$F$111</f>
        <v>501000</v>
      </c>
    </row>
    <row r="12" spans="1:11" ht="15.3" x14ac:dyDescent="0.55000000000000004">
      <c r="A12" s="257">
        <v>210011</v>
      </c>
      <c r="B12" s="257" t="s">
        <v>563</v>
      </c>
      <c r="C12" s="290">
        <f>'#11-St. Agnes Hospital'!$C$7</f>
        <v>2450</v>
      </c>
      <c r="D12" s="290">
        <f>'#11-St. Agnes Hospital'!$F$108</f>
        <v>0</v>
      </c>
      <c r="E12" s="291">
        <f>'#11-St. Agnes Hospital'!$F$121</f>
        <v>460174000</v>
      </c>
      <c r="F12" s="292">
        <f>'#11-St. Agnes Hospital'!$K$152</f>
        <v>45328937.121193036</v>
      </c>
      <c r="G12" s="293">
        <f t="shared" si="0"/>
        <v>9.8503907481068104E-2</v>
      </c>
      <c r="H12" s="294">
        <f>'Rate Support-Attachment I'!F12</f>
        <v>22268709.699155971</v>
      </c>
      <c r="I12" s="295">
        <f t="shared" si="1"/>
        <v>23060227.422037065</v>
      </c>
      <c r="J12" s="296">
        <f t="shared" si="2"/>
        <v>5.0111973779563959E-2</v>
      </c>
      <c r="K12" s="291">
        <f>'#11-St. Agnes Hospital'!$F$111</f>
        <v>16137703</v>
      </c>
    </row>
    <row r="13" spans="1:11" ht="15.3" x14ac:dyDescent="0.55000000000000004">
      <c r="A13" s="257">
        <v>210012</v>
      </c>
      <c r="B13" s="257" t="s">
        <v>564</v>
      </c>
      <c r="C13" s="290">
        <f>'#12-Sinai'!$C$7</f>
        <v>5258</v>
      </c>
      <c r="D13" s="290">
        <f>'#12-Sinai'!$F$108</f>
        <v>14877</v>
      </c>
      <c r="E13" s="291">
        <f>'#12-Sinai'!$F$121</f>
        <v>791568000</v>
      </c>
      <c r="F13" s="292">
        <f>'#12-Sinai'!$K$152</f>
        <v>73675916.179800004</v>
      </c>
      <c r="G13" s="293">
        <f t="shared" si="0"/>
        <v>9.3075915372779094E-2</v>
      </c>
      <c r="H13" s="294">
        <f>'Rate Support-Attachment I'!F13</f>
        <v>23564791.599800792</v>
      </c>
      <c r="I13" s="295">
        <f t="shared" si="1"/>
        <v>50111124.579999208</v>
      </c>
      <c r="J13" s="296">
        <f t="shared" si="2"/>
        <v>6.3306152573119695E-2</v>
      </c>
      <c r="K13" s="291">
        <f>'#12-Sinai'!$F$111</f>
        <v>6345767</v>
      </c>
    </row>
    <row r="14" spans="1:11" ht="15.3" x14ac:dyDescent="0.55000000000000004">
      <c r="A14" s="257">
        <v>210013</v>
      </c>
      <c r="B14" s="257" t="s">
        <v>565</v>
      </c>
      <c r="C14" s="290">
        <f>'#13-Bon Secours'!$C$7</f>
        <v>567</v>
      </c>
      <c r="D14" s="290">
        <f>'#13-Bon Secours'!$F$108</f>
        <v>0</v>
      </c>
      <c r="E14" s="291">
        <f>'#13-Bon Secours'!$F$121</f>
        <v>66479100</v>
      </c>
      <c r="F14" s="292">
        <f>'#13-Bon Secours'!$K$152</f>
        <v>8777658.9486000016</v>
      </c>
      <c r="G14" s="293">
        <f t="shared" si="0"/>
        <v>0.13203636855192086</v>
      </c>
      <c r="H14" s="294">
        <f>'Rate Support-Attachment I'!F14</f>
        <v>337088.56007305218</v>
      </c>
      <c r="I14" s="295">
        <f t="shared" si="1"/>
        <v>8440570.38852695</v>
      </c>
      <c r="J14" s="296">
        <f t="shared" si="2"/>
        <v>0.12696577403314652</v>
      </c>
      <c r="K14" s="291">
        <f>'#13-Bon Secours'!$F$111</f>
        <v>213345</v>
      </c>
    </row>
    <row r="15" spans="1:11" ht="15.3" x14ac:dyDescent="0.55000000000000004">
      <c r="A15" s="257">
        <v>210015</v>
      </c>
      <c r="B15" s="257" t="s">
        <v>566</v>
      </c>
      <c r="C15" s="290">
        <f>'#15-MedStar Franklin Square'!$C$7</f>
        <v>2905</v>
      </c>
      <c r="D15" s="290">
        <f>'#15-MedStar Franklin Square'!$F$108</f>
        <v>2636</v>
      </c>
      <c r="E15" s="291">
        <f>'#15-MedStar Franklin Square'!$F$121</f>
        <v>549838800</v>
      </c>
      <c r="F15" s="292">
        <f>'#15-MedStar Franklin Square'!$K$152</f>
        <v>48273947.939999998</v>
      </c>
      <c r="G15" s="293">
        <f t="shared" si="0"/>
        <v>8.7796546806082065E-2</v>
      </c>
      <c r="H15" s="294">
        <f>'Rate Support-Attachment I'!F15</f>
        <v>21694421.998635791</v>
      </c>
      <c r="I15" s="295">
        <f t="shared" si="1"/>
        <v>26579525.941364206</v>
      </c>
      <c r="J15" s="296">
        <f t="shared" si="2"/>
        <v>4.8340578986721575E-2</v>
      </c>
      <c r="K15" s="291">
        <f>'#15-MedStar Franklin Square'!$F$111</f>
        <v>12318684</v>
      </c>
    </row>
    <row r="16" spans="1:11" ht="15.3" x14ac:dyDescent="0.55000000000000004">
      <c r="A16" s="257">
        <v>210016</v>
      </c>
      <c r="B16" s="257" t="s">
        <v>567</v>
      </c>
      <c r="C16" s="290">
        <f>'#16-Washington Adventist'!$C$7</f>
        <v>1273</v>
      </c>
      <c r="D16" s="290">
        <f>'#16-Washington Adventist'!$F$108</f>
        <v>1553.0514624635557</v>
      </c>
      <c r="E16" s="291">
        <f>'#16-Washington Adventist'!$F$121</f>
        <v>265481640</v>
      </c>
      <c r="F16" s="292">
        <f>'#16-Washington Adventist'!$K$152</f>
        <v>37330186.668834299</v>
      </c>
      <c r="G16" s="293">
        <f t="shared" si="0"/>
        <v>0.14061306336978444</v>
      </c>
      <c r="H16" s="294">
        <f>'Rate Support-Attachment I'!F16</f>
        <v>9559666.5699433703</v>
      </c>
      <c r="I16" s="295">
        <f t="shared" si="1"/>
        <v>27770520.09889093</v>
      </c>
      <c r="J16" s="296">
        <f t="shared" si="2"/>
        <v>0.10460429617238665</v>
      </c>
      <c r="K16" s="291">
        <f>'#16-Washington Adventist'!$F$111</f>
        <v>9664080.9899999984</v>
      </c>
    </row>
    <row r="17" spans="1:11" ht="15.3" x14ac:dyDescent="0.55000000000000004">
      <c r="A17" s="257">
        <v>210017</v>
      </c>
      <c r="B17" s="257" t="s">
        <v>568</v>
      </c>
      <c r="C17" s="290" t="str">
        <f>'#17-Garrett County Memorial'!$C$7</f>
        <v>508</v>
      </c>
      <c r="D17" s="290">
        <f>'#17-Garrett County Memorial'!$F$108</f>
        <v>127</v>
      </c>
      <c r="E17" s="291">
        <f>'#17-Garrett County Memorial'!$F$121</f>
        <v>49847123</v>
      </c>
      <c r="F17" s="292">
        <f>'#17-Garrett County Memorial'!$K$152</f>
        <v>4100014.7429999998</v>
      </c>
      <c r="G17" s="293">
        <f t="shared" si="0"/>
        <v>8.2251782976522025E-2</v>
      </c>
      <c r="H17" s="294">
        <f>'Rate Support-Attachment I'!F17</f>
        <v>3152298.9924332458</v>
      </c>
      <c r="I17" s="295">
        <f t="shared" si="1"/>
        <v>947715.75056675402</v>
      </c>
      <c r="J17" s="296">
        <f t="shared" si="2"/>
        <v>1.9012446326476133E-2</v>
      </c>
      <c r="K17" s="291">
        <f>'#17-Garrett County Memorial'!$F$111</f>
        <v>3074822</v>
      </c>
    </row>
    <row r="18" spans="1:11" ht="15.3" x14ac:dyDescent="0.55000000000000004">
      <c r="A18" s="257">
        <v>210018</v>
      </c>
      <c r="B18" s="257" t="s">
        <v>569</v>
      </c>
      <c r="C18" s="290">
        <f>'#18-MedStar Montgomery General'!$C$7</f>
        <v>1016</v>
      </c>
      <c r="D18" s="290">
        <f>'#18-MedStar Montgomery General'!$F$108</f>
        <v>0</v>
      </c>
      <c r="E18" s="291">
        <f>'#18-MedStar Montgomery General'!$F$121</f>
        <v>171486283.47</v>
      </c>
      <c r="F18" s="292">
        <f>'#18-MedStar Montgomery General'!$K$152</f>
        <v>8727048.6699999999</v>
      </c>
      <c r="G18" s="293">
        <f t="shared" si="0"/>
        <v>5.0890651388609279E-2</v>
      </c>
      <c r="H18" s="294">
        <f>'Rate Support-Attachment I'!F18</f>
        <v>3396543.8998694085</v>
      </c>
      <c r="I18" s="295">
        <f t="shared" si="1"/>
        <v>5330504.7701305915</v>
      </c>
      <c r="J18" s="296">
        <f t="shared" si="2"/>
        <v>3.1084146570026495E-2</v>
      </c>
      <c r="K18" s="291">
        <f>'#18-MedStar Montgomery General'!$F$111</f>
        <v>3193638</v>
      </c>
    </row>
    <row r="19" spans="1:11" ht="15.3" x14ac:dyDescent="0.55000000000000004">
      <c r="A19" s="257">
        <v>210019</v>
      </c>
      <c r="B19" s="257" t="s">
        <v>396</v>
      </c>
      <c r="C19" s="290">
        <f>'#19-Peninsula Regional'!$C$7</f>
        <v>2894.5</v>
      </c>
      <c r="D19" s="290">
        <f>'#19-Peninsula Regional'!$F$108</f>
        <v>430</v>
      </c>
      <c r="E19" s="291">
        <f>'#19-Peninsula Regional'!$F$121</f>
        <v>493289357</v>
      </c>
      <c r="F19" s="292">
        <f>'#19-Peninsula Regional'!$K$152</f>
        <v>70601728.430000007</v>
      </c>
      <c r="G19" s="293">
        <f t="shared" si="0"/>
        <v>0.14312436996284111</v>
      </c>
      <c r="H19" s="294">
        <f>'Rate Support-Attachment I'!F19</f>
        <v>13547814.251721876</v>
      </c>
      <c r="I19" s="295">
        <f t="shared" si="1"/>
        <v>57053914.178278133</v>
      </c>
      <c r="J19" s="296">
        <f t="shared" si="2"/>
        <v>0.11566013612225194</v>
      </c>
      <c r="K19" s="291">
        <f>'#19-Peninsula Regional'!$F$111</f>
        <v>14451000</v>
      </c>
    </row>
    <row r="20" spans="1:11" s="76" customFormat="1" ht="15.3" x14ac:dyDescent="0.55000000000000004">
      <c r="A20" s="257">
        <v>210022</v>
      </c>
      <c r="B20" s="257" t="s">
        <v>570</v>
      </c>
      <c r="C20" s="297">
        <f>'#22-Suburban'!$C$7</f>
        <v>1896</v>
      </c>
      <c r="D20" s="297">
        <f>'#22-Suburban'!$F$108</f>
        <v>1652</v>
      </c>
      <c r="E20" s="298">
        <f>'#22-Suburban'!$F$121</f>
        <v>311199000</v>
      </c>
      <c r="F20" s="299">
        <f>'#22-Suburban'!$K$152</f>
        <v>30311892.939999998</v>
      </c>
      <c r="G20" s="300">
        <f t="shared" si="0"/>
        <v>9.740356794205636E-2</v>
      </c>
      <c r="H20" s="294">
        <f>'Rate Support-Attachment I'!F20</f>
        <v>5730771.7009586366</v>
      </c>
      <c r="I20" s="295">
        <f t="shared" si="1"/>
        <v>24581121.239041362</v>
      </c>
      <c r="J20" s="296">
        <f t="shared" si="2"/>
        <v>7.8988432607564163E-2</v>
      </c>
      <c r="K20" s="298">
        <f>'#22-Suburban'!$F$111</f>
        <v>4769000</v>
      </c>
    </row>
    <row r="21" spans="1:11" s="76" customFormat="1" ht="15.3" x14ac:dyDescent="0.55000000000000004">
      <c r="A21" s="257">
        <v>210023</v>
      </c>
      <c r="B21" s="257" t="s">
        <v>571</v>
      </c>
      <c r="C21" s="297">
        <f>'#23-AAMC'!$C$7</f>
        <v>4926</v>
      </c>
      <c r="D21" s="297">
        <f>'#23-AAMC'!$F$108</f>
        <v>875</v>
      </c>
      <c r="E21" s="298">
        <f>'#23-AAMC'!$F$121</f>
        <v>585311000</v>
      </c>
      <c r="F21" s="299">
        <f>'#23-AAMC'!$K$152</f>
        <v>61575726.199915998</v>
      </c>
      <c r="G21" s="300">
        <f t="shared" si="0"/>
        <v>0.10520172386973078</v>
      </c>
      <c r="H21" s="294">
        <f>'Rate Support-Attachment I'!F21</f>
        <v>6657139.561642997</v>
      </c>
      <c r="I21" s="295">
        <f t="shared" si="1"/>
        <v>54918586.638273001</v>
      </c>
      <c r="J21" s="296">
        <f t="shared" si="2"/>
        <v>9.3828044643399833E-2</v>
      </c>
      <c r="K21" s="298">
        <f>'#23-AAMC'!$F$111</f>
        <v>4665050</v>
      </c>
    </row>
    <row r="22" spans="1:11" ht="15.3" x14ac:dyDescent="0.55000000000000004">
      <c r="A22" s="257">
        <v>210024</v>
      </c>
      <c r="B22" s="257" t="s">
        <v>397</v>
      </c>
      <c r="C22" s="290" t="str">
        <f>'#24-MedStar Union Memorial'!$C$7</f>
        <v>2,113</v>
      </c>
      <c r="D22" s="290">
        <f>'#24-MedStar Union Memorial'!$F$108</f>
        <v>1413</v>
      </c>
      <c r="E22" s="291">
        <f>'#24-MedStar Union Memorial'!$F$121</f>
        <v>430645261</v>
      </c>
      <c r="F22" s="292">
        <f>'#24-MedStar Union Memorial'!$K$152</f>
        <v>45660745.520000003</v>
      </c>
      <c r="G22" s="293">
        <f t="shared" si="0"/>
        <v>0.10602867291276195</v>
      </c>
      <c r="H22" s="294">
        <f>'Rate Support-Attachment I'!F22</f>
        <v>23602018.927719615</v>
      </c>
      <c r="I22" s="295">
        <f t="shared" si="1"/>
        <v>22058726.592280388</v>
      </c>
      <c r="J22" s="296">
        <f t="shared" si="2"/>
        <v>5.12224993282357E-2</v>
      </c>
      <c r="K22" s="291">
        <f>'#24-MedStar Union Memorial'!$F$111</f>
        <v>9977661</v>
      </c>
    </row>
    <row r="23" spans="1:11" ht="15.3" x14ac:dyDescent="0.55000000000000004">
      <c r="A23" s="257">
        <v>210027</v>
      </c>
      <c r="B23" s="257" t="s">
        <v>572</v>
      </c>
      <c r="C23" s="290">
        <f>'#27-Western Maryland Regional'!$C$7</f>
        <v>2096</v>
      </c>
      <c r="D23" s="290">
        <f>'#27-Western Maryland Regional'!$F$108</f>
        <v>316</v>
      </c>
      <c r="E23" s="291">
        <f>'#27-Western Maryland Regional'!$F$121</f>
        <v>333791774</v>
      </c>
      <c r="F23" s="292">
        <f>'#27-Western Maryland Regional'!$K$152</f>
        <v>67592469.739999995</v>
      </c>
      <c r="G23" s="293">
        <f t="shared" si="0"/>
        <v>0.20249890801682846</v>
      </c>
      <c r="H23" s="294">
        <f>'Rate Support-Attachment I'!F23</f>
        <v>12822833.810515493</v>
      </c>
      <c r="I23" s="295">
        <f t="shared" si="1"/>
        <v>54769635.929484501</v>
      </c>
      <c r="J23" s="296">
        <f t="shared" si="2"/>
        <v>0.16408324049796535</v>
      </c>
      <c r="K23" s="291">
        <f>'#27-Western Maryland Regional'!$F$111</f>
        <v>15894834</v>
      </c>
    </row>
    <row r="24" spans="1:11" ht="15.3" x14ac:dyDescent="0.55000000000000004">
      <c r="A24" s="257">
        <v>210028</v>
      </c>
      <c r="B24" s="257" t="s">
        <v>573</v>
      </c>
      <c r="C24" s="290" t="str">
        <f>'#28-MedStar St. Marys'!$C$7</f>
        <v>1,184</v>
      </c>
      <c r="D24" s="290">
        <f>'#28-MedStar St. Marys'!$F$108</f>
        <v>5053</v>
      </c>
      <c r="E24" s="291">
        <f>'#28-MedStar St. Marys'!$F$121</f>
        <v>162834941.59999999</v>
      </c>
      <c r="F24" s="292">
        <f>'#28-MedStar St. Marys'!$K$152</f>
        <v>18390288.18</v>
      </c>
      <c r="G24" s="293">
        <f t="shared" si="0"/>
        <v>0.11293821829208676</v>
      </c>
      <c r="H24" s="294">
        <f>'Rate Support-Attachment I'!F24</f>
        <v>4757490.7718780618</v>
      </c>
      <c r="I24" s="295">
        <f t="shared" si="1"/>
        <v>13632797.408121938</v>
      </c>
      <c r="J24" s="296">
        <f t="shared" si="2"/>
        <v>8.3721572742111866E-2</v>
      </c>
      <c r="K24" s="291">
        <f>'#28-MedStar St. Marys'!$F$111</f>
        <v>4735612</v>
      </c>
    </row>
    <row r="25" spans="1:11" s="76" customFormat="1" ht="15.3" x14ac:dyDescent="0.55000000000000004">
      <c r="A25" s="257">
        <v>210029</v>
      </c>
      <c r="B25" s="257" t="s">
        <v>574</v>
      </c>
      <c r="C25" s="297">
        <f>'#29-JH Bayview'!$C$7</f>
        <v>3410</v>
      </c>
      <c r="D25" s="297">
        <f>'#29-JH Bayview'!$F$108</f>
        <v>538</v>
      </c>
      <c r="E25" s="298">
        <f>'#29-JH Bayview'!$F$121</f>
        <v>671878000</v>
      </c>
      <c r="F25" s="299">
        <f>'#29-JH Bayview'!$K$152</f>
        <v>93408686.799999997</v>
      </c>
      <c r="G25" s="300">
        <f t="shared" si="0"/>
        <v>0.13902626191064449</v>
      </c>
      <c r="H25" s="294">
        <f>'Rate Support-Attachment I'!F25</f>
        <v>47552210.725659162</v>
      </c>
      <c r="I25" s="295">
        <f t="shared" si="1"/>
        <v>45856476.074340835</v>
      </c>
      <c r="J25" s="296">
        <f t="shared" si="2"/>
        <v>6.8251194523917785E-2</v>
      </c>
      <c r="K25" s="298">
        <f>'#29-JH Bayview'!$F$111</f>
        <v>21680000</v>
      </c>
    </row>
    <row r="26" spans="1:11" ht="15.3" x14ac:dyDescent="0.55000000000000004">
      <c r="A26" s="257">
        <v>210030</v>
      </c>
      <c r="B26" s="257" t="s">
        <v>575</v>
      </c>
      <c r="C26" s="290">
        <f>'#30-UM Shore Health Chestertown'!$C$7</f>
        <v>185</v>
      </c>
      <c r="D26" s="290">
        <f>'#30-UM Shore Health Chestertown'!$F$108</f>
        <v>1460</v>
      </c>
      <c r="E26" s="291">
        <f>'#30-UM Shore Health Chestertown'!$F$121</f>
        <v>43821000</v>
      </c>
      <c r="F26" s="292">
        <f>'#30-UM Shore Health Chestertown'!$K$152</f>
        <v>10778269.172984477</v>
      </c>
      <c r="G26" s="293">
        <f t="shared" si="0"/>
        <v>0.24596127822241567</v>
      </c>
      <c r="H26" s="294">
        <f>'Rate Support-Attachment I'!F26</f>
        <v>691129.2019379799</v>
      </c>
      <c r="I26" s="295">
        <f t="shared" si="1"/>
        <v>10087139.971046498</v>
      </c>
      <c r="J26" s="296">
        <f t="shared" si="2"/>
        <v>0.23018963444573373</v>
      </c>
      <c r="K26" s="291">
        <f>'#30-UM Shore Health Chestertown'!$F$111</f>
        <v>635000</v>
      </c>
    </row>
    <row r="27" spans="1:11" ht="15.3" x14ac:dyDescent="0.55000000000000004">
      <c r="A27" s="257">
        <v>210032</v>
      </c>
      <c r="B27" s="257" t="s">
        <v>226</v>
      </c>
      <c r="C27" s="290">
        <f>'#32-Union Hospital Cecil Co'!$C$7</f>
        <v>1185</v>
      </c>
      <c r="D27" s="290">
        <f>'#32-Union Hospital Cecil Co'!$F$108</f>
        <v>893</v>
      </c>
      <c r="E27" s="291">
        <f>'#32-Union Hospital Cecil Co'!$F$121</f>
        <v>159947807</v>
      </c>
      <c r="F27" s="292">
        <f>'#32-Union Hospital Cecil Co'!$K$152</f>
        <v>11110605.65</v>
      </c>
      <c r="G27" s="293">
        <f t="shared" si="0"/>
        <v>6.9463944885471293E-2</v>
      </c>
      <c r="H27" s="294">
        <f>'Rate Support-Attachment I'!F27</f>
        <v>1614780.4691019554</v>
      </c>
      <c r="I27" s="295">
        <f t="shared" si="1"/>
        <v>9495825.1808980443</v>
      </c>
      <c r="J27" s="296">
        <f t="shared" si="2"/>
        <v>5.9368273682539732E-2</v>
      </c>
      <c r="K27" s="291">
        <f>'#32-Union Hospital Cecil Co'!$F$111</f>
        <v>1432729</v>
      </c>
    </row>
    <row r="28" spans="1:11" ht="15.3" x14ac:dyDescent="0.55000000000000004">
      <c r="A28" s="257">
        <v>210033</v>
      </c>
      <c r="B28" s="257" t="s">
        <v>576</v>
      </c>
      <c r="C28" s="290">
        <f>'#33-Carroll Hospital Center'!$C$7</f>
        <v>1875</v>
      </c>
      <c r="D28" s="290">
        <f>'#33-Carroll Hospital Center'!$F$108</f>
        <v>2080</v>
      </c>
      <c r="E28" s="291">
        <f>'#33-Carroll Hospital Center'!$F$121</f>
        <v>201484375</v>
      </c>
      <c r="F28" s="292">
        <f>'#33-Carroll Hospital Center'!$K$152</f>
        <v>17714786.850000001</v>
      </c>
      <c r="G28" s="293">
        <f t="shared" si="0"/>
        <v>8.7921392663823192E-2</v>
      </c>
      <c r="H28" s="294">
        <f>'Rate Support-Attachment I'!F28</f>
        <v>764461.68808085774</v>
      </c>
      <c r="I28" s="295">
        <f t="shared" si="1"/>
        <v>16950325.161919143</v>
      </c>
      <c r="J28" s="296">
        <f t="shared" si="2"/>
        <v>8.4127243921118658E-2</v>
      </c>
      <c r="K28" s="291">
        <f>'#33-Carroll Hospital Center'!$F$111</f>
        <v>503783</v>
      </c>
    </row>
    <row r="29" spans="1:11" ht="15.3" x14ac:dyDescent="0.55000000000000004">
      <c r="A29" s="257">
        <v>210034</v>
      </c>
      <c r="B29" s="257" t="s">
        <v>577</v>
      </c>
      <c r="C29" s="290">
        <f>'#34-MedStar Harbor Hospital'!$C$7</f>
        <v>1127</v>
      </c>
      <c r="D29" s="290">
        <f>'#34-MedStar Harbor Hospital'!$F$108</f>
        <v>3054</v>
      </c>
      <c r="E29" s="291">
        <f>'#34-MedStar Harbor Hospital'!$F$121</f>
        <v>191182619</v>
      </c>
      <c r="F29" s="292">
        <f>'#34-MedStar Harbor Hospital'!$K$152</f>
        <v>23766596.43</v>
      </c>
      <c r="G29" s="293">
        <f t="shared" si="0"/>
        <v>0.12431358328656435</v>
      </c>
      <c r="H29" s="294">
        <f>'Rate Support-Attachment I'!F29</f>
        <v>9532065.6281995084</v>
      </c>
      <c r="I29" s="295">
        <f t="shared" si="1"/>
        <v>14234530.801800491</v>
      </c>
      <c r="J29" s="296">
        <f t="shared" si="2"/>
        <v>7.4455151186104906E-2</v>
      </c>
      <c r="K29" s="291">
        <f>'#34-MedStar Harbor Hospital'!$F$111</f>
        <v>5448214</v>
      </c>
    </row>
    <row r="30" spans="1:11" ht="15.3" x14ac:dyDescent="0.55000000000000004">
      <c r="A30" s="257">
        <v>210035</v>
      </c>
      <c r="B30" s="257" t="s">
        <v>578</v>
      </c>
      <c r="C30" s="290">
        <f>'#35-UM Charles Regional'!$C$7</f>
        <v>872</v>
      </c>
      <c r="D30" s="290">
        <f>'#35-UM Charles Regional'!$F$108</f>
        <v>1249</v>
      </c>
      <c r="E30" s="291">
        <f>'#35-UM Charles Regional'!$F$121</f>
        <v>133537960</v>
      </c>
      <c r="F30" s="292">
        <f>'#35-UM Charles Regional'!$K$152</f>
        <v>12815037.104</v>
      </c>
      <c r="G30" s="293">
        <f t="shared" si="0"/>
        <v>9.5965500027108394E-2</v>
      </c>
      <c r="H30" s="294">
        <f>'Rate Support-Attachment I'!F30</f>
        <v>1260929.5476422058</v>
      </c>
      <c r="I30" s="295">
        <f t="shared" si="1"/>
        <v>11554107.556357794</v>
      </c>
      <c r="J30" s="296">
        <f t="shared" si="2"/>
        <v>8.6523019794205278E-2</v>
      </c>
      <c r="K30" s="291">
        <f>'#35-UM Charles Regional'!$F$111</f>
        <v>1088211.9999999998</v>
      </c>
    </row>
    <row r="31" spans="1:11" ht="15.3" x14ac:dyDescent="0.55000000000000004">
      <c r="A31" s="257">
        <v>210037</v>
      </c>
      <c r="B31" s="257" t="s">
        <v>579</v>
      </c>
      <c r="C31" s="290">
        <f>'#37-UM Shore Health Easton'!$C$7</f>
        <v>1316</v>
      </c>
      <c r="D31" s="290">
        <f>'#37-UM Shore Health Easton'!$F$108</f>
        <v>2000</v>
      </c>
      <c r="E31" s="291">
        <f>'#37-UM Shore Health Easton'!$F$121</f>
        <v>218075000</v>
      </c>
      <c r="F31" s="292">
        <f>'#37-UM Shore Health Easton'!$K$152</f>
        <v>32081029.885243144</v>
      </c>
      <c r="G31" s="293">
        <f t="shared" si="0"/>
        <v>0.1471100762822109</v>
      </c>
      <c r="H31" s="294">
        <f>'Rate Support-Attachment I'!F31</f>
        <v>3148392.493040923</v>
      </c>
      <c r="I31" s="295">
        <f t="shared" si="1"/>
        <v>28932637.392202221</v>
      </c>
      <c r="J31" s="296">
        <f t="shared" si="2"/>
        <v>0.13267287580970868</v>
      </c>
      <c r="K31" s="291">
        <f>'#37-UM Shore Health Easton'!$F$111</f>
        <v>3090000</v>
      </c>
    </row>
    <row r="32" spans="1:11" ht="15.3" x14ac:dyDescent="0.55000000000000004">
      <c r="A32" s="257">
        <v>210038</v>
      </c>
      <c r="B32" s="257" t="s">
        <v>580</v>
      </c>
      <c r="C32" s="290" t="str">
        <f>'#38-UM Midtown'!$C$7</f>
        <v>1456</v>
      </c>
      <c r="D32" s="290">
        <f>'#38-UM Midtown'!$F$108</f>
        <v>738</v>
      </c>
      <c r="E32" s="291">
        <f>'#38-UM Midtown'!$F$121</f>
        <v>232223000</v>
      </c>
      <c r="F32" s="292">
        <f>'#38-UM Midtown'!$K$152</f>
        <v>29646890.354226664</v>
      </c>
      <c r="G32" s="293">
        <f t="shared" si="0"/>
        <v>0.1276656074300421</v>
      </c>
      <c r="H32" s="294">
        <f>'Rate Support-Attachment I'!F32</f>
        <v>8903860.2649529893</v>
      </c>
      <c r="I32" s="295">
        <f t="shared" si="1"/>
        <v>20743030.089273676</v>
      </c>
      <c r="J32" s="296">
        <f t="shared" si="2"/>
        <v>8.9323753845543627E-2</v>
      </c>
      <c r="K32" s="291">
        <f>'#38-UM Midtown'!$F$111</f>
        <v>3763000</v>
      </c>
    </row>
    <row r="33" spans="1:11" ht="15.3" x14ac:dyDescent="0.55000000000000004">
      <c r="A33" s="257">
        <v>210039</v>
      </c>
      <c r="B33" s="257" t="s">
        <v>581</v>
      </c>
      <c r="C33" s="290">
        <f>'#39-Calvert Memorial'!$C$7</f>
        <v>0</v>
      </c>
      <c r="D33" s="290">
        <f>'#39-Calvert Memorial'!$F$108</f>
        <v>2520</v>
      </c>
      <c r="E33" s="291">
        <f>'#39-Calvert Memorial'!$F$121</f>
        <v>137396209.96000001</v>
      </c>
      <c r="F33" s="292">
        <f>'#39-Calvert Memorial'!$K$152</f>
        <v>17969883.951000001</v>
      </c>
      <c r="G33" s="293">
        <f t="shared" si="0"/>
        <v>0.13078878927032669</v>
      </c>
      <c r="H33" s="294">
        <f>'Rate Support-Attachment I'!F33</f>
        <v>2257453.303660328</v>
      </c>
      <c r="I33" s="295">
        <f t="shared" si="1"/>
        <v>15712430.647339674</v>
      </c>
      <c r="J33" s="296">
        <f t="shared" si="2"/>
        <v>0.11435854491120254</v>
      </c>
      <c r="K33" s="291">
        <f>'#39-Calvert Memorial'!$F$111</f>
        <v>2087095.1700000002</v>
      </c>
    </row>
    <row r="34" spans="1:11" ht="15.3" x14ac:dyDescent="0.55000000000000004">
      <c r="A34" s="257">
        <v>210040</v>
      </c>
      <c r="B34" s="257" t="s">
        <v>477</v>
      </c>
      <c r="C34" s="290">
        <f>'#40-Lifebridge Northwest'!$C$7</f>
        <v>1623</v>
      </c>
      <c r="D34" s="290">
        <f>'#40-Lifebridge Northwest'!$F$108</f>
        <v>4687</v>
      </c>
      <c r="E34" s="291">
        <f>'#40-Lifebridge Northwest'!$F$121</f>
        <v>249673000</v>
      </c>
      <c r="F34" s="292">
        <f>'#40-Lifebridge Northwest'!$K$152</f>
        <v>15601889.6084</v>
      </c>
      <c r="G34" s="293">
        <f t="shared" si="0"/>
        <v>6.2489294430715374E-2</v>
      </c>
      <c r="H34" s="294">
        <f>'Rate Support-Attachment I'!F34</f>
        <v>2225895.0204551811</v>
      </c>
      <c r="I34" s="295">
        <f t="shared" si="1"/>
        <v>13375994.587944819</v>
      </c>
      <c r="J34" s="296">
        <f t="shared" si="2"/>
        <v>5.3574053213382378E-2</v>
      </c>
      <c r="K34" s="291">
        <f>'#40-Lifebridge Northwest'!$F$111</f>
        <v>1929700</v>
      </c>
    </row>
    <row r="35" spans="1:11" ht="15.3" x14ac:dyDescent="0.55000000000000004">
      <c r="A35" s="257">
        <v>210043</v>
      </c>
      <c r="B35" s="257" t="s">
        <v>582</v>
      </c>
      <c r="C35" s="290">
        <f>'#43-UM BWMC'!$C$7</f>
        <v>3215</v>
      </c>
      <c r="D35" s="290">
        <f>'#43-UM BWMC'!$F$108</f>
        <v>4576</v>
      </c>
      <c r="E35" s="291">
        <f>'#43-UM BWMC'!$F$121</f>
        <v>398520000</v>
      </c>
      <c r="F35" s="292">
        <f>'#43-UM BWMC'!$K$152</f>
        <v>14436003.210000001</v>
      </c>
      <c r="G35" s="293">
        <f t="shared" ref="G35:G55" si="3">F35/E35</f>
        <v>3.6224036961758507E-2</v>
      </c>
      <c r="H35" s="294">
        <f>'Rate Support-Attachment I'!F35</f>
        <v>7500403.2111600908</v>
      </c>
      <c r="I35" s="295">
        <f t="shared" ref="I35:I52" si="4">F35-H35</f>
        <v>6935599.9988399101</v>
      </c>
      <c r="J35" s="296">
        <f t="shared" ref="J35:J55" si="5">I35/E35</f>
        <v>1.7403392549533048E-2</v>
      </c>
      <c r="K35" s="291">
        <f>'#43-UM BWMC'!$F$111</f>
        <v>6375000</v>
      </c>
    </row>
    <row r="36" spans="1:11" ht="15.3" x14ac:dyDescent="0.55000000000000004">
      <c r="A36" s="257">
        <v>210044</v>
      </c>
      <c r="B36" s="257" t="s">
        <v>444</v>
      </c>
      <c r="C36" s="290">
        <f>'#44-GBMC'!$C$7</f>
        <v>2617.1</v>
      </c>
      <c r="D36" s="290">
        <f>'#44-GBMC'!$F$108</f>
        <v>4560</v>
      </c>
      <c r="E36" s="291">
        <f>'#44-GBMC'!$F$121</f>
        <v>514005000</v>
      </c>
      <c r="F36" s="292">
        <f>'#44-GBMC'!$K$152</f>
        <v>54792556.541702785</v>
      </c>
      <c r="G36" s="293">
        <f t="shared" si="3"/>
        <v>0.10659926759798598</v>
      </c>
      <c r="H36" s="294">
        <f>'Rate Support-Attachment I'!F36</f>
        <v>10434757.248032577</v>
      </c>
      <c r="I36" s="295">
        <f t="shared" si="4"/>
        <v>44357799.293670207</v>
      </c>
      <c r="J36" s="296">
        <f t="shared" si="5"/>
        <v>8.6298380937287006E-2</v>
      </c>
      <c r="K36" s="291">
        <f>'#44-GBMC'!$F$111</f>
        <v>2329000</v>
      </c>
    </row>
    <row r="37" spans="1:11" ht="15.3" x14ac:dyDescent="0.55000000000000004">
      <c r="A37" s="257">
        <v>210045</v>
      </c>
      <c r="B37" s="257" t="s">
        <v>583</v>
      </c>
      <c r="C37" s="290" t="str">
        <f>'#45-McCready'!$C$7</f>
        <v>263</v>
      </c>
      <c r="D37" s="290">
        <f>'#45-McCready'!$F$108</f>
        <v>0</v>
      </c>
      <c r="E37" s="291">
        <f>'#45-McCready'!$F$121</f>
        <v>10283006</v>
      </c>
      <c r="F37" s="292">
        <f>'#45-McCready'!$K$152</f>
        <v>308082.55207868869</v>
      </c>
      <c r="G37" s="293">
        <f t="shared" si="3"/>
        <v>2.9960359069973186E-2</v>
      </c>
      <c r="H37" s="294">
        <f>'Rate Support-Attachment I'!F37</f>
        <v>19140.30579217929</v>
      </c>
      <c r="I37" s="295">
        <f t="shared" si="4"/>
        <v>288942.24628650938</v>
      </c>
      <c r="J37" s="296">
        <f t="shared" si="5"/>
        <v>2.8099005902214719E-2</v>
      </c>
      <c r="K37" s="291">
        <f>'#45-McCready'!$F$111</f>
        <v>198594</v>
      </c>
    </row>
    <row r="38" spans="1:11" ht="15.3" x14ac:dyDescent="0.55000000000000004">
      <c r="A38" s="257">
        <v>210048</v>
      </c>
      <c r="B38" s="257" t="s">
        <v>265</v>
      </c>
      <c r="C38" s="290">
        <f>'#48-Howard County'!$C$7</f>
        <v>1747</v>
      </c>
      <c r="D38" s="290">
        <f>'#48-Howard County'!$F$108</f>
        <v>2955</v>
      </c>
      <c r="E38" s="291">
        <f>'#48-Howard County'!$F$121</f>
        <v>262623000</v>
      </c>
      <c r="F38" s="292">
        <f>'#48-Howard County'!$K$152</f>
        <v>29341719.036293142</v>
      </c>
      <c r="G38" s="293">
        <f t="shared" si="3"/>
        <v>0.1117256258450065</v>
      </c>
      <c r="H38" s="294">
        <f>'Rate Support-Attachment I'!F38</f>
        <v>5023313.3367870534</v>
      </c>
      <c r="I38" s="295">
        <f t="shared" si="4"/>
        <v>24318405.699506089</v>
      </c>
      <c r="J38" s="296">
        <f t="shared" si="5"/>
        <v>9.2598156671373374E-2</v>
      </c>
      <c r="K38" s="291">
        <f>'#48-Howard County'!$F$111</f>
        <v>4678770.95</v>
      </c>
    </row>
    <row r="39" spans="1:11" ht="15.3" x14ac:dyDescent="0.55000000000000004">
      <c r="A39" s="257">
        <v>210049</v>
      </c>
      <c r="B39" s="257" t="s">
        <v>584</v>
      </c>
      <c r="C39" s="290">
        <f>'#49-UM Upper Chesapeake Medical'!$C$7</f>
        <v>2477</v>
      </c>
      <c r="D39" s="290">
        <f>'#49-UM Upper Chesapeake Medical'!$F$108</f>
        <v>2170</v>
      </c>
      <c r="E39" s="291">
        <f>'#49-UM Upper Chesapeake Medical'!$F$121</f>
        <v>272962267</v>
      </c>
      <c r="F39" s="292">
        <f>'#49-UM Upper Chesapeake Medical'!$K$152</f>
        <v>24344308.063999996</v>
      </c>
      <c r="G39" s="293">
        <f t="shared" si="3"/>
        <v>8.9185616501345932E-2</v>
      </c>
      <c r="H39" s="294">
        <f>'Rate Support-Attachment I'!F39</f>
        <v>4297634.4057027521</v>
      </c>
      <c r="I39" s="295">
        <f t="shared" si="4"/>
        <v>20046673.658297244</v>
      </c>
      <c r="J39" s="296">
        <f t="shared" si="5"/>
        <v>7.3441189797479392E-2</v>
      </c>
      <c r="K39" s="291">
        <f>'#49-UM Upper Chesapeake Medical'!$F$111</f>
        <v>3917727</v>
      </c>
    </row>
    <row r="40" spans="1:11" ht="15.3" x14ac:dyDescent="0.55000000000000004">
      <c r="A40" s="257">
        <v>210051</v>
      </c>
      <c r="B40" s="257" t="s">
        <v>585</v>
      </c>
      <c r="C40" s="290">
        <f>'#51-Doctors Community Hospital'!$C$7</f>
        <v>1577</v>
      </c>
      <c r="D40" s="290">
        <f>'#51-Doctors Community Hospital'!$F$108</f>
        <v>1540</v>
      </c>
      <c r="E40" s="291">
        <f>'#51-Doctors Community Hospital'!$F$121</f>
        <v>215413138</v>
      </c>
      <c r="F40" s="292">
        <f>'#51-Doctors Community Hospital'!$K$152</f>
        <v>18108642.288608</v>
      </c>
      <c r="G40" s="293">
        <f t="shared" si="3"/>
        <v>8.4064706808217052E-2</v>
      </c>
      <c r="H40" s="294">
        <f>'Rate Support-Attachment I'!F40</f>
        <v>9700296.7711370904</v>
      </c>
      <c r="I40" s="295">
        <f t="shared" si="4"/>
        <v>8408345.5174709093</v>
      </c>
      <c r="J40" s="296">
        <f t="shared" si="5"/>
        <v>3.9033577968075973E-2</v>
      </c>
      <c r="K40" s="291">
        <f>'#51-Doctors Community Hospital'!$F$111</f>
        <v>9528010</v>
      </c>
    </row>
    <row r="41" spans="1:11" ht="15.3" x14ac:dyDescent="0.55000000000000004">
      <c r="A41" s="381">
        <v>210056</v>
      </c>
      <c r="B41" s="258" t="s">
        <v>403</v>
      </c>
      <c r="C41" s="290" t="str">
        <f>'#2004-MedStar Good Samaritan'!$C$7</f>
        <v>1,710</v>
      </c>
      <c r="D41" s="290">
        <f>'#2004-MedStar Good Samaritan'!$F$108</f>
        <v>1148</v>
      </c>
      <c r="E41" s="291">
        <f>'#2004-MedStar Good Samaritan'!$F$121</f>
        <v>263976142.28</v>
      </c>
      <c r="F41" s="292">
        <f>'#2004-MedStar Good Samaritan'!$K$152</f>
        <v>23374330.73</v>
      </c>
      <c r="G41" s="293">
        <f>F41/E41</f>
        <v>8.8547133570907335E-2</v>
      </c>
      <c r="H41" s="294">
        <f>'Rate Support-Attachment I'!F41</f>
        <v>11903990.007033743</v>
      </c>
      <c r="I41" s="295">
        <f>F41-H41</f>
        <v>11470340.722966257</v>
      </c>
      <c r="J41" s="296">
        <f>I41/E41</f>
        <v>4.3452187094997569E-2</v>
      </c>
      <c r="K41" s="291">
        <f>'#2004-MedStar Good Samaritan'!$F$111</f>
        <v>7178703</v>
      </c>
    </row>
    <row r="42" spans="1:11" ht="15.3" x14ac:dyDescent="0.55000000000000004">
      <c r="A42" s="381">
        <v>210057</v>
      </c>
      <c r="B42" s="258" t="s">
        <v>586</v>
      </c>
      <c r="C42" s="290">
        <f>'#5050-Shady Grove Adventist'!$C$7</f>
        <v>2556</v>
      </c>
      <c r="D42" s="290">
        <f>'#5050-Shady Grove Adventist'!$F$108</f>
        <v>879.09410699999989</v>
      </c>
      <c r="E42" s="291">
        <f>'#5050-Shady Grove Adventist'!$F$121</f>
        <v>395307320</v>
      </c>
      <c r="F42" s="292">
        <f>'#5050-Shady Grove Adventist'!$K$152</f>
        <v>39045440.808741607</v>
      </c>
      <c r="G42" s="293">
        <f>F42/E42</f>
        <v>9.8772369833024107E-2</v>
      </c>
      <c r="H42" s="294">
        <f>'Rate Support-Attachment I'!F42</f>
        <v>11288842.204397544</v>
      </c>
      <c r="I42" s="295">
        <f>F42-H42</f>
        <v>27756598.604344063</v>
      </c>
      <c r="J42" s="296">
        <f>I42/E42</f>
        <v>7.0215240649588936E-2</v>
      </c>
      <c r="K42" s="291">
        <f>'#5050-Shady Grove Adventist'!$F$111</f>
        <v>9670998.9299999997</v>
      </c>
    </row>
    <row r="43" spans="1:11" ht="15.3" x14ac:dyDescent="0.55000000000000004">
      <c r="A43" s="381">
        <v>210058</v>
      </c>
      <c r="B43" s="258" t="s">
        <v>587</v>
      </c>
      <c r="C43" s="290">
        <f>'#2001-UM ROI'!$C$7</f>
        <v>624</v>
      </c>
      <c r="D43" s="290">
        <f>'#2001-UM ROI'!$F$108</f>
        <v>750</v>
      </c>
      <c r="E43" s="291">
        <f>'#2001-UM ROI'!$F$121</f>
        <v>108289000</v>
      </c>
      <c r="F43" s="292">
        <f>'#2001-UM ROI'!$K$152</f>
        <v>11885648.665153846</v>
      </c>
      <c r="G43" s="293">
        <f>F43/E43</f>
        <v>0.10975859658094402</v>
      </c>
      <c r="H43" s="294">
        <f>'Rate Support-Attachment I'!F43</f>
        <v>5441877.7675999999</v>
      </c>
      <c r="I43" s="295">
        <f>F43-H43</f>
        <v>6443770.8975538462</v>
      </c>
      <c r="J43" s="296">
        <f>I43/E43</f>
        <v>5.9505313536498135E-2</v>
      </c>
      <c r="K43" s="291">
        <f>'#2001-UM ROI'!$F$111</f>
        <v>1382000</v>
      </c>
    </row>
    <row r="44" spans="1:11" ht="15.3" x14ac:dyDescent="0.55000000000000004">
      <c r="A44" s="381">
        <v>210060</v>
      </c>
      <c r="B44" s="258" t="s">
        <v>228</v>
      </c>
      <c r="C44" s="290">
        <f>'#60-Fort Washington'!$C$7</f>
        <v>375</v>
      </c>
      <c r="D44" s="290">
        <f>'#60-Fort Washington'!$F$108</f>
        <v>88</v>
      </c>
      <c r="E44" s="291">
        <f>'#60-Fort Washington'!$F$121</f>
        <v>46221264</v>
      </c>
      <c r="F44" s="292">
        <f>'#60-Fort Washington'!$K$152</f>
        <v>1314342.94</v>
      </c>
      <c r="G44" s="293">
        <f t="shared" si="3"/>
        <v>2.843589348833039E-2</v>
      </c>
      <c r="H44" s="294">
        <f>'Rate Support-Attachment I'!F44</f>
        <v>449149.66167581774</v>
      </c>
      <c r="I44" s="295">
        <f t="shared" si="4"/>
        <v>865193.27832418215</v>
      </c>
      <c r="J44" s="296">
        <f t="shared" si="5"/>
        <v>1.8718511859047864E-2</v>
      </c>
      <c r="K44" s="291">
        <f>'#60-Fort Washington'!$F$111</f>
        <v>981260</v>
      </c>
    </row>
    <row r="45" spans="1:11" ht="15.3" x14ac:dyDescent="0.55000000000000004">
      <c r="A45" s="381">
        <v>210061</v>
      </c>
      <c r="B45" s="258" t="s">
        <v>231</v>
      </c>
      <c r="C45" s="290">
        <f>'#61-Atlantic General'!$C$7</f>
        <v>985</v>
      </c>
      <c r="D45" s="290">
        <f>'#61-Atlantic General'!$F$108</f>
        <v>84</v>
      </c>
      <c r="E45" s="291">
        <f>'#61-Atlantic General'!$F$121</f>
        <v>134967041</v>
      </c>
      <c r="F45" s="292">
        <f>'#61-Atlantic General'!$K$152</f>
        <v>3764790.1387928287</v>
      </c>
      <c r="G45" s="293">
        <f t="shared" si="3"/>
        <v>2.7894144458518792E-2</v>
      </c>
      <c r="H45" s="294">
        <f>'Rate Support-Attachment I'!F45</f>
        <v>2129475.6616758173</v>
      </c>
      <c r="I45" s="295">
        <f t="shared" si="4"/>
        <v>1635314.4771170113</v>
      </c>
      <c r="J45" s="296">
        <f t="shared" si="5"/>
        <v>1.2116398677785425E-2</v>
      </c>
      <c r="K45" s="291">
        <f>'#61-Atlantic General'!$F$111</f>
        <v>2158110</v>
      </c>
    </row>
    <row r="46" spans="1:11" ht="15.3" x14ac:dyDescent="0.55000000000000004">
      <c r="A46" s="381">
        <v>210062</v>
      </c>
      <c r="B46" s="258" t="s">
        <v>588</v>
      </c>
      <c r="C46" s="290" t="str">
        <f>'#62-MedStar Southern Maryland'!$C$7</f>
        <v>1,149</v>
      </c>
      <c r="D46" s="290">
        <f>'#62-MedStar Southern Maryland'!$F$108</f>
        <v>1360</v>
      </c>
      <c r="E46" s="291">
        <f>'#62-MedStar Southern Maryland'!$F$121</f>
        <v>240415418</v>
      </c>
      <c r="F46" s="292">
        <f>'#62-MedStar Southern Maryland'!$K$152</f>
        <v>17056466.890000001</v>
      </c>
      <c r="G46" s="293">
        <f t="shared" si="3"/>
        <v>7.0945811345593482E-2</v>
      </c>
      <c r="H46" s="294">
        <f>'Rate Support-Attachment I'!F46</f>
        <v>5735253.1948373485</v>
      </c>
      <c r="I46" s="295">
        <f t="shared" si="4"/>
        <v>11321213.695162652</v>
      </c>
      <c r="J46" s="296">
        <f t="shared" si="5"/>
        <v>4.7090214884482375E-2</v>
      </c>
      <c r="K46" s="291">
        <f>'#62-MedStar Southern Maryland'!$F$111</f>
        <v>5442147</v>
      </c>
    </row>
    <row r="47" spans="1:11" s="76" customFormat="1" ht="15.3" x14ac:dyDescent="0.55000000000000004">
      <c r="A47" s="381">
        <v>210063</v>
      </c>
      <c r="B47" s="258" t="s">
        <v>589</v>
      </c>
      <c r="C47" s="297">
        <f>'#63-UM St Joseph'!$C$7</f>
        <v>2041</v>
      </c>
      <c r="D47" s="297">
        <f>'#63-UM St Joseph'!$F$108</f>
        <v>529</v>
      </c>
      <c r="E47" s="298">
        <f>'#63-UM St Joseph'!$F$121</f>
        <v>340304000</v>
      </c>
      <c r="F47" s="299">
        <f>'#63-UM St Joseph'!$K$152</f>
        <v>48903007.33707267</v>
      </c>
      <c r="G47" s="300">
        <f t="shared" si="3"/>
        <v>0.14370388634007439</v>
      </c>
      <c r="H47" s="294">
        <f>'Rate Support-Attachment I'!F47</f>
        <v>7914426.7851563394</v>
      </c>
      <c r="I47" s="295">
        <f t="shared" si="4"/>
        <v>40988580.551916331</v>
      </c>
      <c r="J47" s="296">
        <f t="shared" si="5"/>
        <v>0.12044695493416573</v>
      </c>
      <c r="K47" s="298">
        <f>'#63-UM St Joseph'!$F$111</f>
        <v>7921000</v>
      </c>
    </row>
    <row r="48" spans="1:11" ht="15.3" x14ac:dyDescent="0.55000000000000004">
      <c r="A48" s="381">
        <v>210064</v>
      </c>
      <c r="B48" s="258" t="s">
        <v>195</v>
      </c>
      <c r="C48" s="290">
        <f>'#64-Levindale'!$C$7</f>
        <v>816</v>
      </c>
      <c r="D48" s="290">
        <f>'#64-Levindale'!$F$108</f>
        <v>815</v>
      </c>
      <c r="E48" s="291">
        <f>'#64-Levindale'!$F$121</f>
        <v>80197000</v>
      </c>
      <c r="F48" s="292">
        <f>'#64-Levindale'!$K$152</f>
        <v>2795617.8359999997</v>
      </c>
      <c r="G48" s="293">
        <f t="shared" si="3"/>
        <v>3.4859381722508319E-2</v>
      </c>
      <c r="H48" s="294">
        <f>'Rate Support-Attachment I'!F48</f>
        <v>1003603.2043975458</v>
      </c>
      <c r="I48" s="295">
        <f t="shared" si="4"/>
        <v>1792014.631602454</v>
      </c>
      <c r="J48" s="296">
        <f t="shared" si="5"/>
        <v>2.2345157943594575E-2</v>
      </c>
      <c r="K48" s="291">
        <f>'#64-Levindale'!$F$111</f>
        <v>1597300</v>
      </c>
    </row>
    <row r="49" spans="1:11" ht="15.3" x14ac:dyDescent="0.55000000000000004">
      <c r="A49" s="381">
        <v>210065</v>
      </c>
      <c r="B49" s="258" t="s">
        <v>590</v>
      </c>
      <c r="C49" s="290">
        <f>'#65-Holy Cross Germantown'!$C$7</f>
        <v>735</v>
      </c>
      <c r="D49" s="290">
        <f>'#65-Holy Cross Germantown'!$F$108</f>
        <v>353</v>
      </c>
      <c r="E49" s="291">
        <f>'#65-Holy Cross Germantown'!$F$121</f>
        <v>108611245</v>
      </c>
      <c r="F49" s="292">
        <f>'#65-Holy Cross Germantown'!$K$152</f>
        <v>8115921.7699999996</v>
      </c>
      <c r="G49" s="293">
        <f t="shared" si="3"/>
        <v>7.4724507301246745E-2</v>
      </c>
      <c r="H49" s="294">
        <f>'Rate Support-Attachment I'!F49</f>
        <v>5262545.2851563403</v>
      </c>
      <c r="I49" s="295">
        <f t="shared" si="4"/>
        <v>2853376.4848436592</v>
      </c>
      <c r="J49" s="296">
        <f t="shared" si="5"/>
        <v>2.6271464661358584E-2</v>
      </c>
      <c r="K49" s="291">
        <f>'#65-Holy Cross Germantown'!$F$111</f>
        <v>4811636</v>
      </c>
    </row>
    <row r="50" spans="1:11" ht="15.3" x14ac:dyDescent="0.55000000000000004">
      <c r="A50" s="382">
        <v>213300</v>
      </c>
      <c r="B50" s="258" t="s">
        <v>591</v>
      </c>
      <c r="C50" s="301">
        <f>'#5034-Mt Washington Pediatric'!$C$7</f>
        <v>752</v>
      </c>
      <c r="D50" s="301">
        <f>'#5034-Mt Washington Pediatric'!$F$108</f>
        <v>2658</v>
      </c>
      <c r="E50" s="302">
        <f>'#5034-Mt Washington Pediatric'!$F$121</f>
        <v>62631697</v>
      </c>
      <c r="F50" s="303">
        <f>'#5034-Mt Washington Pediatric'!$K$152</f>
        <v>1861657.9164524334</v>
      </c>
      <c r="G50" s="293">
        <f>F50/E50</f>
        <v>2.9723893900758164E-2</v>
      </c>
      <c r="H50" s="294">
        <f>'Rate Support-Attachment I'!F50</f>
        <v>110960.47549308691</v>
      </c>
      <c r="I50" s="295">
        <f>F50-H50</f>
        <v>1750697.4409593465</v>
      </c>
      <c r="J50" s="296">
        <f>I50/E50</f>
        <v>2.795225939605862E-2</v>
      </c>
      <c r="K50" s="302">
        <f>'#5034-Mt Washington Pediatric'!$F$111</f>
        <v>65146</v>
      </c>
    </row>
    <row r="51" spans="1:11" ht="15.3" x14ac:dyDescent="0.55000000000000004">
      <c r="A51" s="382">
        <v>214000</v>
      </c>
      <c r="B51" s="258" t="s">
        <v>196</v>
      </c>
      <c r="C51" s="301">
        <f>'#4000-Sheppard Pratt'!$C$7</f>
        <v>2500</v>
      </c>
      <c r="D51" s="301">
        <f>'#4000-Sheppard Pratt'!$F$108</f>
        <v>378.21538461538461</v>
      </c>
      <c r="E51" s="302">
        <f>'#4000-Sheppard Pratt'!$F$121</f>
        <v>232824428</v>
      </c>
      <c r="F51" s="303">
        <f>'#4000-Sheppard Pratt'!$K$152</f>
        <v>26672620.032156687</v>
      </c>
      <c r="G51" s="293">
        <f>F51/E51</f>
        <v>0.11456108906302859</v>
      </c>
      <c r="H51" s="294">
        <f>'Rate Support-Attachment I'!F51</f>
        <v>7251015.2600000007</v>
      </c>
      <c r="I51" s="295">
        <f>F51-H51</f>
        <v>19421604.772156686</v>
      </c>
      <c r="J51" s="296">
        <f>I51/E51</f>
        <v>8.3417384245250609E-2</v>
      </c>
      <c r="K51" s="302">
        <f>'#4000-Sheppard Pratt'!$F$111</f>
        <v>4443367</v>
      </c>
    </row>
    <row r="52" spans="1:11" s="74" customFormat="1" ht="15.3" x14ac:dyDescent="0.55000000000000004">
      <c r="A52" s="382">
        <v>213029</v>
      </c>
      <c r="B52" s="258" t="s">
        <v>592</v>
      </c>
      <c r="C52" s="301">
        <f>'#3029-Adventist Rehab'!$C$7</f>
        <v>476</v>
      </c>
      <c r="D52" s="301">
        <f>'#3029-Adventist Rehab'!$F$108</f>
        <v>391.94579163910726</v>
      </c>
      <c r="E52" s="302">
        <f>'#3029-Adventist Rehab'!$F$121</f>
        <v>50824294</v>
      </c>
      <c r="F52" s="303">
        <f>'#3029-Adventist Rehab'!$K$152</f>
        <v>3005220.2382074967</v>
      </c>
      <c r="G52" s="293">
        <f t="shared" si="3"/>
        <v>5.9129601253437906E-2</v>
      </c>
      <c r="H52" s="294">
        <f>'Rate Support-Attachment I'!F52</f>
        <v>0</v>
      </c>
      <c r="I52" s="295">
        <f t="shared" si="4"/>
        <v>3005220.2382074967</v>
      </c>
      <c r="J52" s="296">
        <f t="shared" si="5"/>
        <v>5.9129601253437906E-2</v>
      </c>
      <c r="K52" s="302">
        <f>'#3029-Adventist Rehab'!$F$111</f>
        <v>551775.56000000006</v>
      </c>
    </row>
    <row r="53" spans="1:11" s="75" customFormat="1" x14ac:dyDescent="0.55000000000000004"/>
    <row r="54" spans="1:11" s="3" customFormat="1" x14ac:dyDescent="0.55000000000000004"/>
    <row r="55" spans="1:11" x14ac:dyDescent="0.55000000000000004">
      <c r="A55" s="8"/>
      <c r="B55" s="304" t="s">
        <v>413</v>
      </c>
      <c r="C55" s="9">
        <f>SUM(C3:C52)</f>
        <v>85021.6</v>
      </c>
      <c r="D55" s="10">
        <f>SUM(D3:D52)</f>
        <v>99211.406745718035</v>
      </c>
      <c r="E55" s="11">
        <f>SUM(E3:E52)</f>
        <v>17148098364.309999</v>
      </c>
      <c r="F55" s="11">
        <f>SUM(F3:F52)</f>
        <v>1942595565.4023769</v>
      </c>
      <c r="G55" s="12">
        <f t="shared" si="3"/>
        <v>0.11328343960549368</v>
      </c>
      <c r="H55" s="11">
        <f>SUM(H3:H52)</f>
        <v>705741989.45509768</v>
      </c>
      <c r="I55" s="168">
        <f>SUM(I3:I52)</f>
        <v>1236853575.9472792</v>
      </c>
      <c r="J55" s="169">
        <f t="shared" si="5"/>
        <v>7.2127739745272174E-2</v>
      </c>
      <c r="K55" s="11">
        <f>SUM(K3:K52)</f>
        <v>348683331.83000004</v>
      </c>
    </row>
    <row r="56" spans="1:11" x14ac:dyDescent="0.55000000000000004">
      <c r="C56" s="9"/>
      <c r="D56" s="10"/>
      <c r="E56" s="11"/>
      <c r="F56" s="11"/>
      <c r="G56" s="11"/>
      <c r="H56" s="168"/>
      <c r="I56" s="169"/>
      <c r="J56" s="11"/>
      <c r="K56" s="136"/>
    </row>
    <row r="57" spans="1:11" x14ac:dyDescent="0.55000000000000004">
      <c r="C57" s="9">
        <f>AVERAGE(C3:C52)</f>
        <v>1977.246511627907</v>
      </c>
      <c r="D57" s="9">
        <f>AVERAGE(D3:D52)</f>
        <v>1984.2281349143607</v>
      </c>
      <c r="E57" s="135">
        <f>AVERAGE(E3:E52)</f>
        <v>342961967.28619999</v>
      </c>
      <c r="F57" s="135">
        <f>AVERAGE(F3:F52)</f>
        <v>38851911.30804754</v>
      </c>
      <c r="G57" s="83">
        <f>AVERAGE(G3:G52)</f>
        <v>0.10713564626281114</v>
      </c>
      <c r="H57" s="168"/>
      <c r="I57" s="169">
        <f>AVERAGE(J3:J52)</f>
        <v>7.8351178587526604E-2</v>
      </c>
      <c r="J57" s="11"/>
      <c r="K57" s="135">
        <f>AVERAGE(K3:K52)</f>
        <v>6973666.6366000008</v>
      </c>
    </row>
    <row r="58" spans="1:11" ht="96.75" customHeight="1" x14ac:dyDescent="0.55000000000000004">
      <c r="A58" s="18"/>
      <c r="B58" s="620" t="s">
        <v>499</v>
      </c>
      <c r="C58" s="621"/>
      <c r="D58" s="621"/>
      <c r="E58" s="621"/>
      <c r="F58" s="81"/>
      <c r="H58" s="82"/>
      <c r="I58" s="188"/>
    </row>
    <row r="59" spans="1:11" x14ac:dyDescent="0.55000000000000004">
      <c r="D59" s="190"/>
      <c r="H59" s="196"/>
      <c r="I59" s="73"/>
    </row>
    <row r="60" spans="1:11" x14ac:dyDescent="0.55000000000000004">
      <c r="C60" s="619"/>
      <c r="D60" s="619"/>
      <c r="E60" s="619"/>
      <c r="F60" s="619"/>
      <c r="G60" s="619"/>
      <c r="H60" s="619"/>
      <c r="I60" s="619"/>
    </row>
    <row r="61" spans="1:11" x14ac:dyDescent="0.55000000000000004">
      <c r="C61" s="14"/>
      <c r="D61" s="3"/>
      <c r="E61" s="15"/>
      <c r="F61" s="15"/>
      <c r="G61" s="6"/>
      <c r="H61" s="17"/>
      <c r="I61" s="16"/>
    </row>
    <row r="64" spans="1:11" x14ac:dyDescent="0.55000000000000004">
      <c r="D64" s="19"/>
    </row>
  </sheetData>
  <sortState xmlns:xlrd2="http://schemas.microsoft.com/office/spreadsheetml/2017/richdata2" ref="A3:K54">
    <sortCondition ref="A3:A54"/>
  </sortState>
  <dataConsolidate/>
  <mergeCells count="3">
    <mergeCell ref="A1:C1"/>
    <mergeCell ref="C60:I60"/>
    <mergeCell ref="B58:E58"/>
  </mergeCells>
  <pageMargins left="0.51" right="0.11" top="0.48" bottom="0.28000000000000003" header="0.3" footer="0.3"/>
  <pageSetup paperSize="5" scale="61" orientation="landscape" r:id="rId1"/>
  <headerFooter>
    <oddHeader xml:space="preserve">&amp;L&amp;12ATTACHMENT II
&amp;C&amp;12FY2015 Analysis - Acute Hospitals&amp;10
&amp;R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7" tint="-0.249977111117893"/>
    <pageSetUpPr fitToPage="1"/>
  </sheetPr>
  <dimension ref="A1:O127"/>
  <sheetViews>
    <sheetView zoomScale="90" zoomScaleNormal="90" zoomScaleSheetLayoutView="85" workbookViewId="0">
      <selection sqref="A1:M1"/>
    </sheetView>
  </sheetViews>
  <sheetFormatPr defaultRowHeight="12.3" x14ac:dyDescent="0.4"/>
  <cols>
    <col min="1" max="1" width="6.27734375" style="24" customWidth="1"/>
    <col min="2" max="2" width="4.38671875" style="24" customWidth="1"/>
    <col min="3" max="3" width="56" style="24" customWidth="1"/>
    <col min="4" max="4" width="0.71875" style="24" hidden="1" customWidth="1"/>
    <col min="5" max="5" width="5.27734375" style="24" hidden="1" customWidth="1"/>
    <col min="6" max="6" width="11.38671875" style="24" customWidth="1"/>
    <col min="7" max="7" width="28.27734375" style="24" customWidth="1"/>
    <col min="8" max="8" width="19.27734375" style="24" bestFit="1" customWidth="1"/>
    <col min="9" max="9" width="17.71875" style="24" bestFit="1" customWidth="1"/>
    <col min="10" max="10" width="16.71875" style="24" bestFit="1" customWidth="1"/>
    <col min="11" max="11" width="17" style="24" bestFit="1" customWidth="1"/>
    <col min="12" max="12" width="20.71875" style="24" bestFit="1" customWidth="1"/>
    <col min="13" max="13" width="23.109375" style="24" bestFit="1" customWidth="1"/>
    <col min="14" max="14" width="14.71875" style="24" bestFit="1" customWidth="1"/>
    <col min="15" max="15" width="16" style="24" bestFit="1" customWidth="1"/>
    <col min="16" max="16" width="14.71875" style="24" bestFit="1" customWidth="1"/>
    <col min="17" max="17" width="16" style="24" bestFit="1" customWidth="1"/>
    <col min="18" max="18" width="12.71875" style="24" bestFit="1" customWidth="1"/>
    <col min="19" max="19" width="14.71875" style="24" bestFit="1" customWidth="1"/>
    <col min="20" max="257" width="9.27734375" style="24"/>
    <col min="258" max="258" width="6.27734375" style="24" customWidth="1"/>
    <col min="259" max="259" width="4.38671875" style="24" customWidth="1"/>
    <col min="260" max="260" width="38.38671875" style="24" customWidth="1"/>
    <col min="261" max="262" width="0" style="24" hidden="1" customWidth="1"/>
    <col min="263" max="263" width="28.27734375" style="24" customWidth="1"/>
    <col min="264" max="264" width="19.27734375" style="24" bestFit="1" customWidth="1"/>
    <col min="265" max="265" width="18" style="24" bestFit="1" customWidth="1"/>
    <col min="266" max="266" width="16.27734375" style="24" bestFit="1" customWidth="1"/>
    <col min="267" max="267" width="16.609375" style="24" bestFit="1" customWidth="1"/>
    <col min="268" max="268" width="16.38671875" style="24" bestFit="1" customWidth="1"/>
    <col min="269" max="269" width="15.609375" style="24" bestFit="1" customWidth="1"/>
    <col min="270" max="270" width="14.71875" style="24" bestFit="1" customWidth="1"/>
    <col min="271" max="271" width="16" style="24" bestFit="1" customWidth="1"/>
    <col min="272" max="272" width="14.71875" style="24" bestFit="1" customWidth="1"/>
    <col min="273" max="273" width="16" style="24" bestFit="1" customWidth="1"/>
    <col min="274" max="274" width="12.71875" style="24" bestFit="1" customWidth="1"/>
    <col min="275" max="275" width="14.71875" style="24" bestFit="1" customWidth="1"/>
    <col min="276" max="513" width="9.27734375" style="24"/>
    <col min="514" max="514" width="6.27734375" style="24" customWidth="1"/>
    <col min="515" max="515" width="4.38671875" style="24" customWidth="1"/>
    <col min="516" max="516" width="38.38671875" style="24" customWidth="1"/>
    <col min="517" max="518" width="0" style="24" hidden="1" customWidth="1"/>
    <col min="519" max="519" width="28.27734375" style="24" customWidth="1"/>
    <col min="520" max="520" width="19.27734375" style="24" bestFit="1" customWidth="1"/>
    <col min="521" max="521" width="18" style="24" bestFit="1" customWidth="1"/>
    <col min="522" max="522" width="16.27734375" style="24" bestFit="1" customWidth="1"/>
    <col min="523" max="523" width="16.609375" style="24" bestFit="1" customWidth="1"/>
    <col min="524" max="524" width="16.38671875" style="24" bestFit="1" customWidth="1"/>
    <col min="525" max="525" width="15.609375" style="24" bestFit="1" customWidth="1"/>
    <col min="526" max="526" width="14.71875" style="24" bestFit="1" customWidth="1"/>
    <col min="527" max="527" width="16" style="24" bestFit="1" customWidth="1"/>
    <col min="528" max="528" width="14.71875" style="24" bestFit="1" customWidth="1"/>
    <col min="529" max="529" width="16" style="24" bestFit="1" customWidth="1"/>
    <col min="530" max="530" width="12.71875" style="24" bestFit="1" customWidth="1"/>
    <col min="531" max="531" width="14.71875" style="24" bestFit="1" customWidth="1"/>
    <col min="532" max="769" width="9.27734375" style="24"/>
    <col min="770" max="770" width="6.27734375" style="24" customWidth="1"/>
    <col min="771" max="771" width="4.38671875" style="24" customWidth="1"/>
    <col min="772" max="772" width="38.38671875" style="24" customWidth="1"/>
    <col min="773" max="774" width="0" style="24" hidden="1" customWidth="1"/>
    <col min="775" max="775" width="28.27734375" style="24" customWidth="1"/>
    <col min="776" max="776" width="19.27734375" style="24" bestFit="1" customWidth="1"/>
    <col min="777" max="777" width="18" style="24" bestFit="1" customWidth="1"/>
    <col min="778" max="778" width="16.27734375" style="24" bestFit="1" customWidth="1"/>
    <col min="779" max="779" width="16.609375" style="24" bestFit="1" customWidth="1"/>
    <col min="780" max="780" width="16.38671875" style="24" bestFit="1" customWidth="1"/>
    <col min="781" max="781" width="15.609375" style="24" bestFit="1" customWidth="1"/>
    <col min="782" max="782" width="14.71875" style="24" bestFit="1" customWidth="1"/>
    <col min="783" max="783" width="16" style="24" bestFit="1" customWidth="1"/>
    <col min="784" max="784" width="14.71875" style="24" bestFit="1" customWidth="1"/>
    <col min="785" max="785" width="16" style="24" bestFit="1" customWidth="1"/>
    <col min="786" max="786" width="12.71875" style="24" bestFit="1" customWidth="1"/>
    <col min="787" max="787" width="14.71875" style="24" bestFit="1" customWidth="1"/>
    <col min="788" max="1025" width="9.27734375" style="24"/>
    <col min="1026" max="1026" width="6.27734375" style="24" customWidth="1"/>
    <col min="1027" max="1027" width="4.38671875" style="24" customWidth="1"/>
    <col min="1028" max="1028" width="38.38671875" style="24" customWidth="1"/>
    <col min="1029" max="1030" width="0" style="24" hidden="1" customWidth="1"/>
    <col min="1031" max="1031" width="28.27734375" style="24" customWidth="1"/>
    <col min="1032" max="1032" width="19.27734375" style="24" bestFit="1" customWidth="1"/>
    <col min="1033" max="1033" width="18" style="24" bestFit="1" customWidth="1"/>
    <col min="1034" max="1034" width="16.27734375" style="24" bestFit="1" customWidth="1"/>
    <col min="1035" max="1035" width="16.609375" style="24" bestFit="1" customWidth="1"/>
    <col min="1036" max="1036" width="16.38671875" style="24" bestFit="1" customWidth="1"/>
    <col min="1037" max="1037" width="15.609375" style="24" bestFit="1" customWidth="1"/>
    <col min="1038" max="1038" width="14.71875" style="24" bestFit="1" customWidth="1"/>
    <col min="1039" max="1039" width="16" style="24" bestFit="1" customWidth="1"/>
    <col min="1040" max="1040" width="14.71875" style="24" bestFit="1" customWidth="1"/>
    <col min="1041" max="1041" width="16" style="24" bestFit="1" customWidth="1"/>
    <col min="1042" max="1042" width="12.71875" style="24" bestFit="1" customWidth="1"/>
    <col min="1043" max="1043" width="14.71875" style="24" bestFit="1" customWidth="1"/>
    <col min="1044" max="1281" width="9.27734375" style="24"/>
    <col min="1282" max="1282" width="6.27734375" style="24" customWidth="1"/>
    <col min="1283" max="1283" width="4.38671875" style="24" customWidth="1"/>
    <col min="1284" max="1284" width="38.38671875" style="24" customWidth="1"/>
    <col min="1285" max="1286" width="0" style="24" hidden="1" customWidth="1"/>
    <col min="1287" max="1287" width="28.27734375" style="24" customWidth="1"/>
    <col min="1288" max="1288" width="19.27734375" style="24" bestFit="1" customWidth="1"/>
    <col min="1289" max="1289" width="18" style="24" bestFit="1" customWidth="1"/>
    <col min="1290" max="1290" width="16.27734375" style="24" bestFit="1" customWidth="1"/>
    <col min="1291" max="1291" width="16.609375" style="24" bestFit="1" customWidth="1"/>
    <col min="1292" max="1292" width="16.38671875" style="24" bestFit="1" customWidth="1"/>
    <col min="1293" max="1293" width="15.609375" style="24" bestFit="1" customWidth="1"/>
    <col min="1294" max="1294" width="14.71875" style="24" bestFit="1" customWidth="1"/>
    <col min="1295" max="1295" width="16" style="24" bestFit="1" customWidth="1"/>
    <col min="1296" max="1296" width="14.71875" style="24" bestFit="1" customWidth="1"/>
    <col min="1297" max="1297" width="16" style="24" bestFit="1" customWidth="1"/>
    <col min="1298" max="1298" width="12.71875" style="24" bestFit="1" customWidth="1"/>
    <col min="1299" max="1299" width="14.71875" style="24" bestFit="1" customWidth="1"/>
    <col min="1300" max="1537" width="9.27734375" style="24"/>
    <col min="1538" max="1538" width="6.27734375" style="24" customWidth="1"/>
    <col min="1539" max="1539" width="4.38671875" style="24" customWidth="1"/>
    <col min="1540" max="1540" width="38.38671875" style="24" customWidth="1"/>
    <col min="1541" max="1542" width="0" style="24" hidden="1" customWidth="1"/>
    <col min="1543" max="1543" width="28.27734375" style="24" customWidth="1"/>
    <col min="1544" max="1544" width="19.27734375" style="24" bestFit="1" customWidth="1"/>
    <col min="1545" max="1545" width="18" style="24" bestFit="1" customWidth="1"/>
    <col min="1546" max="1546" width="16.27734375" style="24" bestFit="1" customWidth="1"/>
    <col min="1547" max="1547" width="16.609375" style="24" bestFit="1" customWidth="1"/>
    <col min="1548" max="1548" width="16.38671875" style="24" bestFit="1" customWidth="1"/>
    <col min="1549" max="1549" width="15.609375" style="24" bestFit="1" customWidth="1"/>
    <col min="1550" max="1550" width="14.71875" style="24" bestFit="1" customWidth="1"/>
    <col min="1551" max="1551" width="16" style="24" bestFit="1" customWidth="1"/>
    <col min="1552" max="1552" width="14.71875" style="24" bestFit="1" customWidth="1"/>
    <col min="1553" max="1553" width="16" style="24" bestFit="1" customWidth="1"/>
    <col min="1554" max="1554" width="12.71875" style="24" bestFit="1" customWidth="1"/>
    <col min="1555" max="1555" width="14.71875" style="24" bestFit="1" customWidth="1"/>
    <col min="1556" max="1793" width="9.27734375" style="24"/>
    <col min="1794" max="1794" width="6.27734375" style="24" customWidth="1"/>
    <col min="1795" max="1795" width="4.38671875" style="24" customWidth="1"/>
    <col min="1796" max="1796" width="38.38671875" style="24" customWidth="1"/>
    <col min="1797" max="1798" width="0" style="24" hidden="1" customWidth="1"/>
    <col min="1799" max="1799" width="28.27734375" style="24" customWidth="1"/>
    <col min="1800" max="1800" width="19.27734375" style="24" bestFit="1" customWidth="1"/>
    <col min="1801" max="1801" width="18" style="24" bestFit="1" customWidth="1"/>
    <col min="1802" max="1802" width="16.27734375" style="24" bestFit="1" customWidth="1"/>
    <col min="1803" max="1803" width="16.609375" style="24" bestFit="1" customWidth="1"/>
    <col min="1804" max="1804" width="16.38671875" style="24" bestFit="1" customWidth="1"/>
    <col min="1805" max="1805" width="15.609375" style="24" bestFit="1" customWidth="1"/>
    <col min="1806" max="1806" width="14.71875" style="24" bestFit="1" customWidth="1"/>
    <col min="1807" max="1807" width="16" style="24" bestFit="1" customWidth="1"/>
    <col min="1808" max="1808" width="14.71875" style="24" bestFit="1" customWidth="1"/>
    <col min="1809" max="1809" width="16" style="24" bestFit="1" customWidth="1"/>
    <col min="1810" max="1810" width="12.71875" style="24" bestFit="1" customWidth="1"/>
    <col min="1811" max="1811" width="14.71875" style="24" bestFit="1" customWidth="1"/>
    <col min="1812" max="2049" width="9.27734375" style="24"/>
    <col min="2050" max="2050" width="6.27734375" style="24" customWidth="1"/>
    <col min="2051" max="2051" width="4.38671875" style="24" customWidth="1"/>
    <col min="2052" max="2052" width="38.38671875" style="24" customWidth="1"/>
    <col min="2053" max="2054" width="0" style="24" hidden="1" customWidth="1"/>
    <col min="2055" max="2055" width="28.27734375" style="24" customWidth="1"/>
    <col min="2056" max="2056" width="19.27734375" style="24" bestFit="1" customWidth="1"/>
    <col min="2057" max="2057" width="18" style="24" bestFit="1" customWidth="1"/>
    <col min="2058" max="2058" width="16.27734375" style="24" bestFit="1" customWidth="1"/>
    <col min="2059" max="2059" width="16.609375" style="24" bestFit="1" customWidth="1"/>
    <col min="2060" max="2060" width="16.38671875" style="24" bestFit="1" customWidth="1"/>
    <col min="2061" max="2061" width="15.609375" style="24" bestFit="1" customWidth="1"/>
    <col min="2062" max="2062" width="14.71875" style="24" bestFit="1" customWidth="1"/>
    <col min="2063" max="2063" width="16" style="24" bestFit="1" customWidth="1"/>
    <col min="2064" max="2064" width="14.71875" style="24" bestFit="1" customWidth="1"/>
    <col min="2065" max="2065" width="16" style="24" bestFit="1" customWidth="1"/>
    <col min="2066" max="2066" width="12.71875" style="24" bestFit="1" customWidth="1"/>
    <col min="2067" max="2067" width="14.71875" style="24" bestFit="1" customWidth="1"/>
    <col min="2068" max="2305" width="9.27734375" style="24"/>
    <col min="2306" max="2306" width="6.27734375" style="24" customWidth="1"/>
    <col min="2307" max="2307" width="4.38671875" style="24" customWidth="1"/>
    <col min="2308" max="2308" width="38.38671875" style="24" customWidth="1"/>
    <col min="2309" max="2310" width="0" style="24" hidden="1" customWidth="1"/>
    <col min="2311" max="2311" width="28.27734375" style="24" customWidth="1"/>
    <col min="2312" max="2312" width="19.27734375" style="24" bestFit="1" customWidth="1"/>
    <col min="2313" max="2313" width="18" style="24" bestFit="1" customWidth="1"/>
    <col min="2314" max="2314" width="16.27734375" style="24" bestFit="1" customWidth="1"/>
    <col min="2315" max="2315" width="16.609375" style="24" bestFit="1" customWidth="1"/>
    <col min="2316" max="2316" width="16.38671875" style="24" bestFit="1" customWidth="1"/>
    <col min="2317" max="2317" width="15.609375" style="24" bestFit="1" customWidth="1"/>
    <col min="2318" max="2318" width="14.71875" style="24" bestFit="1" customWidth="1"/>
    <col min="2319" max="2319" width="16" style="24" bestFit="1" customWidth="1"/>
    <col min="2320" max="2320" width="14.71875" style="24" bestFit="1" customWidth="1"/>
    <col min="2321" max="2321" width="16" style="24" bestFit="1" customWidth="1"/>
    <col min="2322" max="2322" width="12.71875" style="24" bestFit="1" customWidth="1"/>
    <col min="2323" max="2323" width="14.71875" style="24" bestFit="1" customWidth="1"/>
    <col min="2324" max="2561" width="9.27734375" style="24"/>
    <col min="2562" max="2562" width="6.27734375" style="24" customWidth="1"/>
    <col min="2563" max="2563" width="4.38671875" style="24" customWidth="1"/>
    <col min="2564" max="2564" width="38.38671875" style="24" customWidth="1"/>
    <col min="2565" max="2566" width="0" style="24" hidden="1" customWidth="1"/>
    <col min="2567" max="2567" width="28.27734375" style="24" customWidth="1"/>
    <col min="2568" max="2568" width="19.27734375" style="24" bestFit="1" customWidth="1"/>
    <col min="2569" max="2569" width="18" style="24" bestFit="1" customWidth="1"/>
    <col min="2570" max="2570" width="16.27734375" style="24" bestFit="1" customWidth="1"/>
    <col min="2571" max="2571" width="16.609375" style="24" bestFit="1" customWidth="1"/>
    <col min="2572" max="2572" width="16.38671875" style="24" bestFit="1" customWidth="1"/>
    <col min="2573" max="2573" width="15.609375" style="24" bestFit="1" customWidth="1"/>
    <col min="2574" max="2574" width="14.71875" style="24" bestFit="1" customWidth="1"/>
    <col min="2575" max="2575" width="16" style="24" bestFit="1" customWidth="1"/>
    <col min="2576" max="2576" width="14.71875" style="24" bestFit="1" customWidth="1"/>
    <col min="2577" max="2577" width="16" style="24" bestFit="1" customWidth="1"/>
    <col min="2578" max="2578" width="12.71875" style="24" bestFit="1" customWidth="1"/>
    <col min="2579" max="2579" width="14.71875" style="24" bestFit="1" customWidth="1"/>
    <col min="2580" max="2817" width="9.27734375" style="24"/>
    <col min="2818" max="2818" width="6.27734375" style="24" customWidth="1"/>
    <col min="2819" max="2819" width="4.38671875" style="24" customWidth="1"/>
    <col min="2820" max="2820" width="38.38671875" style="24" customWidth="1"/>
    <col min="2821" max="2822" width="0" style="24" hidden="1" customWidth="1"/>
    <col min="2823" max="2823" width="28.27734375" style="24" customWidth="1"/>
    <col min="2824" max="2824" width="19.27734375" style="24" bestFit="1" customWidth="1"/>
    <col min="2825" max="2825" width="18" style="24" bestFit="1" customWidth="1"/>
    <col min="2826" max="2826" width="16.27734375" style="24" bestFit="1" customWidth="1"/>
    <col min="2827" max="2827" width="16.609375" style="24" bestFit="1" customWidth="1"/>
    <col min="2828" max="2828" width="16.38671875" style="24" bestFit="1" customWidth="1"/>
    <col min="2829" max="2829" width="15.609375" style="24" bestFit="1" customWidth="1"/>
    <col min="2830" max="2830" width="14.71875" style="24" bestFit="1" customWidth="1"/>
    <col min="2831" max="2831" width="16" style="24" bestFit="1" customWidth="1"/>
    <col min="2832" max="2832" width="14.71875" style="24" bestFit="1" customWidth="1"/>
    <col min="2833" max="2833" width="16" style="24" bestFit="1" customWidth="1"/>
    <col min="2834" max="2834" width="12.71875" style="24" bestFit="1" customWidth="1"/>
    <col min="2835" max="2835" width="14.71875" style="24" bestFit="1" customWidth="1"/>
    <col min="2836" max="3073" width="9.27734375" style="24"/>
    <col min="3074" max="3074" width="6.27734375" style="24" customWidth="1"/>
    <col min="3075" max="3075" width="4.38671875" style="24" customWidth="1"/>
    <col min="3076" max="3076" width="38.38671875" style="24" customWidth="1"/>
    <col min="3077" max="3078" width="0" style="24" hidden="1" customWidth="1"/>
    <col min="3079" max="3079" width="28.27734375" style="24" customWidth="1"/>
    <col min="3080" max="3080" width="19.27734375" style="24" bestFit="1" customWidth="1"/>
    <col min="3081" max="3081" width="18" style="24" bestFit="1" customWidth="1"/>
    <col min="3082" max="3082" width="16.27734375" style="24" bestFit="1" customWidth="1"/>
    <col min="3083" max="3083" width="16.609375" style="24" bestFit="1" customWidth="1"/>
    <col min="3084" max="3084" width="16.38671875" style="24" bestFit="1" customWidth="1"/>
    <col min="3085" max="3085" width="15.609375" style="24" bestFit="1" customWidth="1"/>
    <col min="3086" max="3086" width="14.71875" style="24" bestFit="1" customWidth="1"/>
    <col min="3087" max="3087" width="16" style="24" bestFit="1" customWidth="1"/>
    <col min="3088" max="3088" width="14.71875" style="24" bestFit="1" customWidth="1"/>
    <col min="3089" max="3089" width="16" style="24" bestFit="1" customWidth="1"/>
    <col min="3090" max="3090" width="12.71875" style="24" bestFit="1" customWidth="1"/>
    <col min="3091" max="3091" width="14.71875" style="24" bestFit="1" customWidth="1"/>
    <col min="3092" max="3329" width="9.27734375" style="24"/>
    <col min="3330" max="3330" width="6.27734375" style="24" customWidth="1"/>
    <col min="3331" max="3331" width="4.38671875" style="24" customWidth="1"/>
    <col min="3332" max="3332" width="38.38671875" style="24" customWidth="1"/>
    <col min="3333" max="3334" width="0" style="24" hidden="1" customWidth="1"/>
    <col min="3335" max="3335" width="28.27734375" style="24" customWidth="1"/>
    <col min="3336" max="3336" width="19.27734375" style="24" bestFit="1" customWidth="1"/>
    <col min="3337" max="3337" width="18" style="24" bestFit="1" customWidth="1"/>
    <col min="3338" max="3338" width="16.27734375" style="24" bestFit="1" customWidth="1"/>
    <col min="3339" max="3339" width="16.609375" style="24" bestFit="1" customWidth="1"/>
    <col min="3340" max="3340" width="16.38671875" style="24" bestFit="1" customWidth="1"/>
    <col min="3341" max="3341" width="15.609375" style="24" bestFit="1" customWidth="1"/>
    <col min="3342" max="3342" width="14.71875" style="24" bestFit="1" customWidth="1"/>
    <col min="3343" max="3343" width="16" style="24" bestFit="1" customWidth="1"/>
    <col min="3344" max="3344" width="14.71875" style="24" bestFit="1" customWidth="1"/>
    <col min="3345" max="3345" width="16" style="24" bestFit="1" customWidth="1"/>
    <col min="3346" max="3346" width="12.71875" style="24" bestFit="1" customWidth="1"/>
    <col min="3347" max="3347" width="14.71875" style="24" bestFit="1" customWidth="1"/>
    <col min="3348" max="3585" width="9.27734375" style="24"/>
    <col min="3586" max="3586" width="6.27734375" style="24" customWidth="1"/>
    <col min="3587" max="3587" width="4.38671875" style="24" customWidth="1"/>
    <col min="3588" max="3588" width="38.38671875" style="24" customWidth="1"/>
    <col min="3589" max="3590" width="0" style="24" hidden="1" customWidth="1"/>
    <col min="3591" max="3591" width="28.27734375" style="24" customWidth="1"/>
    <col min="3592" max="3592" width="19.27734375" style="24" bestFit="1" customWidth="1"/>
    <col min="3593" max="3593" width="18" style="24" bestFit="1" customWidth="1"/>
    <col min="3594" max="3594" width="16.27734375" style="24" bestFit="1" customWidth="1"/>
    <col min="3595" max="3595" width="16.609375" style="24" bestFit="1" customWidth="1"/>
    <col min="3596" max="3596" width="16.38671875" style="24" bestFit="1" customWidth="1"/>
    <col min="3597" max="3597" width="15.609375" style="24" bestFit="1" customWidth="1"/>
    <col min="3598" max="3598" width="14.71875" style="24" bestFit="1" customWidth="1"/>
    <col min="3599" max="3599" width="16" style="24" bestFit="1" customWidth="1"/>
    <col min="3600" max="3600" width="14.71875" style="24" bestFit="1" customWidth="1"/>
    <col min="3601" max="3601" width="16" style="24" bestFit="1" customWidth="1"/>
    <col min="3602" max="3602" width="12.71875" style="24" bestFit="1" customWidth="1"/>
    <col min="3603" max="3603" width="14.71875" style="24" bestFit="1" customWidth="1"/>
    <col min="3604" max="3841" width="9.27734375" style="24"/>
    <col min="3842" max="3842" width="6.27734375" style="24" customWidth="1"/>
    <col min="3843" max="3843" width="4.38671875" style="24" customWidth="1"/>
    <col min="3844" max="3844" width="38.38671875" style="24" customWidth="1"/>
    <col min="3845" max="3846" width="0" style="24" hidden="1" customWidth="1"/>
    <col min="3847" max="3847" width="28.27734375" style="24" customWidth="1"/>
    <col min="3848" max="3848" width="19.27734375" style="24" bestFit="1" customWidth="1"/>
    <col min="3849" max="3849" width="18" style="24" bestFit="1" customWidth="1"/>
    <col min="3850" max="3850" width="16.27734375" style="24" bestFit="1" customWidth="1"/>
    <col min="3851" max="3851" width="16.609375" style="24" bestFit="1" customWidth="1"/>
    <col min="3852" max="3852" width="16.38671875" style="24" bestFit="1" customWidth="1"/>
    <col min="3853" max="3853" width="15.609375" style="24" bestFit="1" customWidth="1"/>
    <col min="3854" max="3854" width="14.71875" style="24" bestFit="1" customWidth="1"/>
    <col min="3855" max="3855" width="16" style="24" bestFit="1" customWidth="1"/>
    <col min="3856" max="3856" width="14.71875" style="24" bestFit="1" customWidth="1"/>
    <col min="3857" max="3857" width="16" style="24" bestFit="1" customWidth="1"/>
    <col min="3858" max="3858" width="12.71875" style="24" bestFit="1" customWidth="1"/>
    <col min="3859" max="3859" width="14.71875" style="24" bestFit="1" customWidth="1"/>
    <col min="3860" max="4097" width="9.27734375" style="24"/>
    <col min="4098" max="4098" width="6.27734375" style="24" customWidth="1"/>
    <col min="4099" max="4099" width="4.38671875" style="24" customWidth="1"/>
    <col min="4100" max="4100" width="38.38671875" style="24" customWidth="1"/>
    <col min="4101" max="4102" width="0" style="24" hidden="1" customWidth="1"/>
    <col min="4103" max="4103" width="28.27734375" style="24" customWidth="1"/>
    <col min="4104" max="4104" width="19.27734375" style="24" bestFit="1" customWidth="1"/>
    <col min="4105" max="4105" width="18" style="24" bestFit="1" customWidth="1"/>
    <col min="4106" max="4106" width="16.27734375" style="24" bestFit="1" customWidth="1"/>
    <col min="4107" max="4107" width="16.609375" style="24" bestFit="1" customWidth="1"/>
    <col min="4108" max="4108" width="16.38671875" style="24" bestFit="1" customWidth="1"/>
    <col min="4109" max="4109" width="15.609375" style="24" bestFit="1" customWidth="1"/>
    <col min="4110" max="4110" width="14.71875" style="24" bestFit="1" customWidth="1"/>
    <col min="4111" max="4111" width="16" style="24" bestFit="1" customWidth="1"/>
    <col min="4112" max="4112" width="14.71875" style="24" bestFit="1" customWidth="1"/>
    <col min="4113" max="4113" width="16" style="24" bestFit="1" customWidth="1"/>
    <col min="4114" max="4114" width="12.71875" style="24" bestFit="1" customWidth="1"/>
    <col min="4115" max="4115" width="14.71875" style="24" bestFit="1" customWidth="1"/>
    <col min="4116" max="4353" width="9.27734375" style="24"/>
    <col min="4354" max="4354" width="6.27734375" style="24" customWidth="1"/>
    <col min="4355" max="4355" width="4.38671875" style="24" customWidth="1"/>
    <col min="4356" max="4356" width="38.38671875" style="24" customWidth="1"/>
    <col min="4357" max="4358" width="0" style="24" hidden="1" customWidth="1"/>
    <col min="4359" max="4359" width="28.27734375" style="24" customWidth="1"/>
    <col min="4360" max="4360" width="19.27734375" style="24" bestFit="1" customWidth="1"/>
    <col min="4361" max="4361" width="18" style="24" bestFit="1" customWidth="1"/>
    <col min="4362" max="4362" width="16.27734375" style="24" bestFit="1" customWidth="1"/>
    <col min="4363" max="4363" width="16.609375" style="24" bestFit="1" customWidth="1"/>
    <col min="4364" max="4364" width="16.38671875" style="24" bestFit="1" customWidth="1"/>
    <col min="4365" max="4365" width="15.609375" style="24" bestFit="1" customWidth="1"/>
    <col min="4366" max="4366" width="14.71875" style="24" bestFit="1" customWidth="1"/>
    <col min="4367" max="4367" width="16" style="24" bestFit="1" customWidth="1"/>
    <col min="4368" max="4368" width="14.71875" style="24" bestFit="1" customWidth="1"/>
    <col min="4369" max="4369" width="16" style="24" bestFit="1" customWidth="1"/>
    <col min="4370" max="4370" width="12.71875" style="24" bestFit="1" customWidth="1"/>
    <col min="4371" max="4371" width="14.71875" style="24" bestFit="1" customWidth="1"/>
    <col min="4372" max="4609" width="9.27734375" style="24"/>
    <col min="4610" max="4610" width="6.27734375" style="24" customWidth="1"/>
    <col min="4611" max="4611" width="4.38671875" style="24" customWidth="1"/>
    <col min="4612" max="4612" width="38.38671875" style="24" customWidth="1"/>
    <col min="4613" max="4614" width="0" style="24" hidden="1" customWidth="1"/>
    <col min="4615" max="4615" width="28.27734375" style="24" customWidth="1"/>
    <col min="4616" max="4616" width="19.27734375" style="24" bestFit="1" customWidth="1"/>
    <col min="4617" max="4617" width="18" style="24" bestFit="1" customWidth="1"/>
    <col min="4618" max="4618" width="16.27734375" style="24" bestFit="1" customWidth="1"/>
    <col min="4619" max="4619" width="16.609375" style="24" bestFit="1" customWidth="1"/>
    <col min="4620" max="4620" width="16.38671875" style="24" bestFit="1" customWidth="1"/>
    <col min="4621" max="4621" width="15.609375" style="24" bestFit="1" customWidth="1"/>
    <col min="4622" max="4622" width="14.71875" style="24" bestFit="1" customWidth="1"/>
    <col min="4623" max="4623" width="16" style="24" bestFit="1" customWidth="1"/>
    <col min="4624" max="4624" width="14.71875" style="24" bestFit="1" customWidth="1"/>
    <col min="4625" max="4625" width="16" style="24" bestFit="1" customWidth="1"/>
    <col min="4626" max="4626" width="12.71875" style="24" bestFit="1" customWidth="1"/>
    <col min="4627" max="4627" width="14.71875" style="24" bestFit="1" customWidth="1"/>
    <col min="4628" max="4865" width="9.27734375" style="24"/>
    <col min="4866" max="4866" width="6.27734375" style="24" customWidth="1"/>
    <col min="4867" max="4867" width="4.38671875" style="24" customWidth="1"/>
    <col min="4868" max="4868" width="38.38671875" style="24" customWidth="1"/>
    <col min="4869" max="4870" width="0" style="24" hidden="1" customWidth="1"/>
    <col min="4871" max="4871" width="28.27734375" style="24" customWidth="1"/>
    <col min="4872" max="4872" width="19.27734375" style="24" bestFit="1" customWidth="1"/>
    <col min="4873" max="4873" width="18" style="24" bestFit="1" customWidth="1"/>
    <col min="4874" max="4874" width="16.27734375" style="24" bestFit="1" customWidth="1"/>
    <col min="4875" max="4875" width="16.609375" style="24" bestFit="1" customWidth="1"/>
    <col min="4876" max="4876" width="16.38671875" style="24" bestFit="1" customWidth="1"/>
    <col min="4877" max="4877" width="15.609375" style="24" bestFit="1" customWidth="1"/>
    <col min="4878" max="4878" width="14.71875" style="24" bestFit="1" customWidth="1"/>
    <col min="4879" max="4879" width="16" style="24" bestFit="1" customWidth="1"/>
    <col min="4880" max="4880" width="14.71875" style="24" bestFit="1" customWidth="1"/>
    <col min="4881" max="4881" width="16" style="24" bestFit="1" customWidth="1"/>
    <col min="4882" max="4882" width="12.71875" style="24" bestFit="1" customWidth="1"/>
    <col min="4883" max="4883" width="14.71875" style="24" bestFit="1" customWidth="1"/>
    <col min="4884" max="5121" width="9.27734375" style="24"/>
    <col min="5122" max="5122" width="6.27734375" style="24" customWidth="1"/>
    <col min="5123" max="5123" width="4.38671875" style="24" customWidth="1"/>
    <col min="5124" max="5124" width="38.38671875" style="24" customWidth="1"/>
    <col min="5125" max="5126" width="0" style="24" hidden="1" customWidth="1"/>
    <col min="5127" max="5127" width="28.27734375" style="24" customWidth="1"/>
    <col min="5128" max="5128" width="19.27734375" style="24" bestFit="1" customWidth="1"/>
    <col min="5129" max="5129" width="18" style="24" bestFit="1" customWidth="1"/>
    <col min="5130" max="5130" width="16.27734375" style="24" bestFit="1" customWidth="1"/>
    <col min="5131" max="5131" width="16.609375" style="24" bestFit="1" customWidth="1"/>
    <col min="5132" max="5132" width="16.38671875" style="24" bestFit="1" customWidth="1"/>
    <col min="5133" max="5133" width="15.609375" style="24" bestFit="1" customWidth="1"/>
    <col min="5134" max="5134" width="14.71875" style="24" bestFit="1" customWidth="1"/>
    <col min="5135" max="5135" width="16" style="24" bestFit="1" customWidth="1"/>
    <col min="5136" max="5136" width="14.71875" style="24" bestFit="1" customWidth="1"/>
    <col min="5137" max="5137" width="16" style="24" bestFit="1" customWidth="1"/>
    <col min="5138" max="5138" width="12.71875" style="24" bestFit="1" customWidth="1"/>
    <col min="5139" max="5139" width="14.71875" style="24" bestFit="1" customWidth="1"/>
    <col min="5140" max="5377" width="9.27734375" style="24"/>
    <col min="5378" max="5378" width="6.27734375" style="24" customWidth="1"/>
    <col min="5379" max="5379" width="4.38671875" style="24" customWidth="1"/>
    <col min="5380" max="5380" width="38.38671875" style="24" customWidth="1"/>
    <col min="5381" max="5382" width="0" style="24" hidden="1" customWidth="1"/>
    <col min="5383" max="5383" width="28.27734375" style="24" customWidth="1"/>
    <col min="5384" max="5384" width="19.27734375" style="24" bestFit="1" customWidth="1"/>
    <col min="5385" max="5385" width="18" style="24" bestFit="1" customWidth="1"/>
    <col min="5386" max="5386" width="16.27734375" style="24" bestFit="1" customWidth="1"/>
    <col min="5387" max="5387" width="16.609375" style="24" bestFit="1" customWidth="1"/>
    <col min="5388" max="5388" width="16.38671875" style="24" bestFit="1" customWidth="1"/>
    <col min="5389" max="5389" width="15.609375" style="24" bestFit="1" customWidth="1"/>
    <col min="5390" max="5390" width="14.71875" style="24" bestFit="1" customWidth="1"/>
    <col min="5391" max="5391" width="16" style="24" bestFit="1" customWidth="1"/>
    <col min="5392" max="5392" width="14.71875" style="24" bestFit="1" customWidth="1"/>
    <col min="5393" max="5393" width="16" style="24" bestFit="1" customWidth="1"/>
    <col min="5394" max="5394" width="12.71875" style="24" bestFit="1" customWidth="1"/>
    <col min="5395" max="5395" width="14.71875" style="24" bestFit="1" customWidth="1"/>
    <col min="5396" max="5633" width="9.27734375" style="24"/>
    <col min="5634" max="5634" width="6.27734375" style="24" customWidth="1"/>
    <col min="5635" max="5635" width="4.38671875" style="24" customWidth="1"/>
    <col min="5636" max="5636" width="38.38671875" style="24" customWidth="1"/>
    <col min="5637" max="5638" width="0" style="24" hidden="1" customWidth="1"/>
    <col min="5639" max="5639" width="28.27734375" style="24" customWidth="1"/>
    <col min="5640" max="5640" width="19.27734375" style="24" bestFit="1" customWidth="1"/>
    <col min="5641" max="5641" width="18" style="24" bestFit="1" customWidth="1"/>
    <col min="5642" max="5642" width="16.27734375" style="24" bestFit="1" customWidth="1"/>
    <col min="5643" max="5643" width="16.609375" style="24" bestFit="1" customWidth="1"/>
    <col min="5644" max="5644" width="16.38671875" style="24" bestFit="1" customWidth="1"/>
    <col min="5645" max="5645" width="15.609375" style="24" bestFit="1" customWidth="1"/>
    <col min="5646" max="5646" width="14.71875" style="24" bestFit="1" customWidth="1"/>
    <col min="5647" max="5647" width="16" style="24" bestFit="1" customWidth="1"/>
    <col min="5648" max="5648" width="14.71875" style="24" bestFit="1" customWidth="1"/>
    <col min="5649" max="5649" width="16" style="24" bestFit="1" customWidth="1"/>
    <col min="5650" max="5650" width="12.71875" style="24" bestFit="1" customWidth="1"/>
    <col min="5651" max="5651" width="14.71875" style="24" bestFit="1" customWidth="1"/>
    <col min="5652" max="5889" width="9.27734375" style="24"/>
    <col min="5890" max="5890" width="6.27734375" style="24" customWidth="1"/>
    <col min="5891" max="5891" width="4.38671875" style="24" customWidth="1"/>
    <col min="5892" max="5892" width="38.38671875" style="24" customWidth="1"/>
    <col min="5893" max="5894" width="0" style="24" hidden="1" customWidth="1"/>
    <col min="5895" max="5895" width="28.27734375" style="24" customWidth="1"/>
    <col min="5896" max="5896" width="19.27734375" style="24" bestFit="1" customWidth="1"/>
    <col min="5897" max="5897" width="18" style="24" bestFit="1" customWidth="1"/>
    <col min="5898" max="5898" width="16.27734375" style="24" bestFit="1" customWidth="1"/>
    <col min="5899" max="5899" width="16.609375" style="24" bestFit="1" customWidth="1"/>
    <col min="5900" max="5900" width="16.38671875" style="24" bestFit="1" customWidth="1"/>
    <col min="5901" max="5901" width="15.609375" style="24" bestFit="1" customWidth="1"/>
    <col min="5902" max="5902" width="14.71875" style="24" bestFit="1" customWidth="1"/>
    <col min="5903" max="5903" width="16" style="24" bestFit="1" customWidth="1"/>
    <col min="5904" max="5904" width="14.71875" style="24" bestFit="1" customWidth="1"/>
    <col min="5905" max="5905" width="16" style="24" bestFit="1" customWidth="1"/>
    <col min="5906" max="5906" width="12.71875" style="24" bestFit="1" customWidth="1"/>
    <col min="5907" max="5907" width="14.71875" style="24" bestFit="1" customWidth="1"/>
    <col min="5908" max="6145" width="9.27734375" style="24"/>
    <col min="6146" max="6146" width="6.27734375" style="24" customWidth="1"/>
    <col min="6147" max="6147" width="4.38671875" style="24" customWidth="1"/>
    <col min="6148" max="6148" width="38.38671875" style="24" customWidth="1"/>
    <col min="6149" max="6150" width="0" style="24" hidden="1" customWidth="1"/>
    <col min="6151" max="6151" width="28.27734375" style="24" customWidth="1"/>
    <col min="6152" max="6152" width="19.27734375" style="24" bestFit="1" customWidth="1"/>
    <col min="6153" max="6153" width="18" style="24" bestFit="1" customWidth="1"/>
    <col min="6154" max="6154" width="16.27734375" style="24" bestFit="1" customWidth="1"/>
    <col min="6155" max="6155" width="16.609375" style="24" bestFit="1" customWidth="1"/>
    <col min="6156" max="6156" width="16.38671875" style="24" bestFit="1" customWidth="1"/>
    <col min="6157" max="6157" width="15.609375" style="24" bestFit="1" customWidth="1"/>
    <col min="6158" max="6158" width="14.71875" style="24" bestFit="1" customWidth="1"/>
    <col min="6159" max="6159" width="16" style="24" bestFit="1" customWidth="1"/>
    <col min="6160" max="6160" width="14.71875" style="24" bestFit="1" customWidth="1"/>
    <col min="6161" max="6161" width="16" style="24" bestFit="1" customWidth="1"/>
    <col min="6162" max="6162" width="12.71875" style="24" bestFit="1" customWidth="1"/>
    <col min="6163" max="6163" width="14.71875" style="24" bestFit="1" customWidth="1"/>
    <col min="6164" max="6401" width="9.27734375" style="24"/>
    <col min="6402" max="6402" width="6.27734375" style="24" customWidth="1"/>
    <col min="6403" max="6403" width="4.38671875" style="24" customWidth="1"/>
    <col min="6404" max="6404" width="38.38671875" style="24" customWidth="1"/>
    <col min="6405" max="6406" width="0" style="24" hidden="1" customWidth="1"/>
    <col min="6407" max="6407" width="28.27734375" style="24" customWidth="1"/>
    <col min="6408" max="6408" width="19.27734375" style="24" bestFit="1" customWidth="1"/>
    <col min="6409" max="6409" width="18" style="24" bestFit="1" customWidth="1"/>
    <col min="6410" max="6410" width="16.27734375" style="24" bestFit="1" customWidth="1"/>
    <col min="6411" max="6411" width="16.609375" style="24" bestFit="1" customWidth="1"/>
    <col min="6412" max="6412" width="16.38671875" style="24" bestFit="1" customWidth="1"/>
    <col min="6413" max="6413" width="15.609375" style="24" bestFit="1" customWidth="1"/>
    <col min="6414" max="6414" width="14.71875" style="24" bestFit="1" customWidth="1"/>
    <col min="6415" max="6415" width="16" style="24" bestFit="1" customWidth="1"/>
    <col min="6416" max="6416" width="14.71875" style="24" bestFit="1" customWidth="1"/>
    <col min="6417" max="6417" width="16" style="24" bestFit="1" customWidth="1"/>
    <col min="6418" max="6418" width="12.71875" style="24" bestFit="1" customWidth="1"/>
    <col min="6419" max="6419" width="14.71875" style="24" bestFit="1" customWidth="1"/>
    <col min="6420" max="6657" width="9.27734375" style="24"/>
    <col min="6658" max="6658" width="6.27734375" style="24" customWidth="1"/>
    <col min="6659" max="6659" width="4.38671875" style="24" customWidth="1"/>
    <col min="6660" max="6660" width="38.38671875" style="24" customWidth="1"/>
    <col min="6661" max="6662" width="0" style="24" hidden="1" customWidth="1"/>
    <col min="6663" max="6663" width="28.27734375" style="24" customWidth="1"/>
    <col min="6664" max="6664" width="19.27734375" style="24" bestFit="1" customWidth="1"/>
    <col min="6665" max="6665" width="18" style="24" bestFit="1" customWidth="1"/>
    <col min="6666" max="6666" width="16.27734375" style="24" bestFit="1" customWidth="1"/>
    <col min="6667" max="6667" width="16.609375" style="24" bestFit="1" customWidth="1"/>
    <col min="6668" max="6668" width="16.38671875" style="24" bestFit="1" customWidth="1"/>
    <col min="6669" max="6669" width="15.609375" style="24" bestFit="1" customWidth="1"/>
    <col min="6670" max="6670" width="14.71875" style="24" bestFit="1" customWidth="1"/>
    <col min="6671" max="6671" width="16" style="24" bestFit="1" customWidth="1"/>
    <col min="6672" max="6672" width="14.71875" style="24" bestFit="1" customWidth="1"/>
    <col min="6673" max="6673" width="16" style="24" bestFit="1" customWidth="1"/>
    <col min="6674" max="6674" width="12.71875" style="24" bestFit="1" customWidth="1"/>
    <col min="6675" max="6675" width="14.71875" style="24" bestFit="1" customWidth="1"/>
    <col min="6676" max="6913" width="9.27734375" style="24"/>
    <col min="6914" max="6914" width="6.27734375" style="24" customWidth="1"/>
    <col min="6915" max="6915" width="4.38671875" style="24" customWidth="1"/>
    <col min="6916" max="6916" width="38.38671875" style="24" customWidth="1"/>
    <col min="6917" max="6918" width="0" style="24" hidden="1" customWidth="1"/>
    <col min="6919" max="6919" width="28.27734375" style="24" customWidth="1"/>
    <col min="6920" max="6920" width="19.27734375" style="24" bestFit="1" customWidth="1"/>
    <col min="6921" max="6921" width="18" style="24" bestFit="1" customWidth="1"/>
    <col min="6922" max="6922" width="16.27734375" style="24" bestFit="1" customWidth="1"/>
    <col min="6923" max="6923" width="16.609375" style="24" bestFit="1" customWidth="1"/>
    <col min="6924" max="6924" width="16.38671875" style="24" bestFit="1" customWidth="1"/>
    <col min="6925" max="6925" width="15.609375" style="24" bestFit="1" customWidth="1"/>
    <col min="6926" max="6926" width="14.71875" style="24" bestFit="1" customWidth="1"/>
    <col min="6927" max="6927" width="16" style="24" bestFit="1" customWidth="1"/>
    <col min="6928" max="6928" width="14.71875" style="24" bestFit="1" customWidth="1"/>
    <col min="6929" max="6929" width="16" style="24" bestFit="1" customWidth="1"/>
    <col min="6930" max="6930" width="12.71875" style="24" bestFit="1" customWidth="1"/>
    <col min="6931" max="6931" width="14.71875" style="24" bestFit="1" customWidth="1"/>
    <col min="6932" max="7169" width="9.27734375" style="24"/>
    <col min="7170" max="7170" width="6.27734375" style="24" customWidth="1"/>
    <col min="7171" max="7171" width="4.38671875" style="24" customWidth="1"/>
    <col min="7172" max="7172" width="38.38671875" style="24" customWidth="1"/>
    <col min="7173" max="7174" width="0" style="24" hidden="1" customWidth="1"/>
    <col min="7175" max="7175" width="28.27734375" style="24" customWidth="1"/>
    <col min="7176" max="7176" width="19.27734375" style="24" bestFit="1" customWidth="1"/>
    <col min="7177" max="7177" width="18" style="24" bestFit="1" customWidth="1"/>
    <col min="7178" max="7178" width="16.27734375" style="24" bestFit="1" customWidth="1"/>
    <col min="7179" max="7179" width="16.609375" style="24" bestFit="1" customWidth="1"/>
    <col min="7180" max="7180" width="16.38671875" style="24" bestFit="1" customWidth="1"/>
    <col min="7181" max="7181" width="15.609375" style="24" bestFit="1" customWidth="1"/>
    <col min="7182" max="7182" width="14.71875" style="24" bestFit="1" customWidth="1"/>
    <col min="7183" max="7183" width="16" style="24" bestFit="1" customWidth="1"/>
    <col min="7184" max="7184" width="14.71875" style="24" bestFit="1" customWidth="1"/>
    <col min="7185" max="7185" width="16" style="24" bestFit="1" customWidth="1"/>
    <col min="7186" max="7186" width="12.71875" style="24" bestFit="1" customWidth="1"/>
    <col min="7187" max="7187" width="14.71875" style="24" bestFit="1" customWidth="1"/>
    <col min="7188" max="7425" width="9.27734375" style="24"/>
    <col min="7426" max="7426" width="6.27734375" style="24" customWidth="1"/>
    <col min="7427" max="7427" width="4.38671875" style="24" customWidth="1"/>
    <col min="7428" max="7428" width="38.38671875" style="24" customWidth="1"/>
    <col min="7429" max="7430" width="0" style="24" hidden="1" customWidth="1"/>
    <col min="7431" max="7431" width="28.27734375" style="24" customWidth="1"/>
    <col min="7432" max="7432" width="19.27734375" style="24" bestFit="1" customWidth="1"/>
    <col min="7433" max="7433" width="18" style="24" bestFit="1" customWidth="1"/>
    <col min="7434" max="7434" width="16.27734375" style="24" bestFit="1" customWidth="1"/>
    <col min="7435" max="7435" width="16.609375" style="24" bestFit="1" customWidth="1"/>
    <col min="7436" max="7436" width="16.38671875" style="24" bestFit="1" customWidth="1"/>
    <col min="7437" max="7437" width="15.609375" style="24" bestFit="1" customWidth="1"/>
    <col min="7438" max="7438" width="14.71875" style="24" bestFit="1" customWidth="1"/>
    <col min="7439" max="7439" width="16" style="24" bestFit="1" customWidth="1"/>
    <col min="7440" max="7440" width="14.71875" style="24" bestFit="1" customWidth="1"/>
    <col min="7441" max="7441" width="16" style="24" bestFit="1" customWidth="1"/>
    <col min="7442" max="7442" width="12.71875" style="24" bestFit="1" customWidth="1"/>
    <col min="7443" max="7443" width="14.71875" style="24" bestFit="1" customWidth="1"/>
    <col min="7444" max="7681" width="9.27734375" style="24"/>
    <col min="7682" max="7682" width="6.27734375" style="24" customWidth="1"/>
    <col min="7683" max="7683" width="4.38671875" style="24" customWidth="1"/>
    <col min="7684" max="7684" width="38.38671875" style="24" customWidth="1"/>
    <col min="7685" max="7686" width="0" style="24" hidden="1" customWidth="1"/>
    <col min="7687" max="7687" width="28.27734375" style="24" customWidth="1"/>
    <col min="7688" max="7688" width="19.27734375" style="24" bestFit="1" customWidth="1"/>
    <col min="7689" max="7689" width="18" style="24" bestFit="1" customWidth="1"/>
    <col min="7690" max="7690" width="16.27734375" style="24" bestFit="1" customWidth="1"/>
    <col min="7691" max="7691" width="16.609375" style="24" bestFit="1" customWidth="1"/>
    <col min="7692" max="7692" width="16.38671875" style="24" bestFit="1" customWidth="1"/>
    <col min="7693" max="7693" width="15.609375" style="24" bestFit="1" customWidth="1"/>
    <col min="7694" max="7694" width="14.71875" style="24" bestFit="1" customWidth="1"/>
    <col min="7695" max="7695" width="16" style="24" bestFit="1" customWidth="1"/>
    <col min="7696" max="7696" width="14.71875" style="24" bestFit="1" customWidth="1"/>
    <col min="7697" max="7697" width="16" style="24" bestFit="1" customWidth="1"/>
    <col min="7698" max="7698" width="12.71875" style="24" bestFit="1" customWidth="1"/>
    <col min="7699" max="7699" width="14.71875" style="24" bestFit="1" customWidth="1"/>
    <col min="7700" max="7937" width="9.27734375" style="24"/>
    <col min="7938" max="7938" width="6.27734375" style="24" customWidth="1"/>
    <col min="7939" max="7939" width="4.38671875" style="24" customWidth="1"/>
    <col min="7940" max="7940" width="38.38671875" style="24" customWidth="1"/>
    <col min="7941" max="7942" width="0" style="24" hidden="1" customWidth="1"/>
    <col min="7943" max="7943" width="28.27734375" style="24" customWidth="1"/>
    <col min="7944" max="7944" width="19.27734375" style="24" bestFit="1" customWidth="1"/>
    <col min="7945" max="7945" width="18" style="24" bestFit="1" customWidth="1"/>
    <col min="7946" max="7946" width="16.27734375" style="24" bestFit="1" customWidth="1"/>
    <col min="7947" max="7947" width="16.609375" style="24" bestFit="1" customWidth="1"/>
    <col min="7948" max="7948" width="16.38671875" style="24" bestFit="1" customWidth="1"/>
    <col min="7949" max="7949" width="15.609375" style="24" bestFit="1" customWidth="1"/>
    <col min="7950" max="7950" width="14.71875" style="24" bestFit="1" customWidth="1"/>
    <col min="7951" max="7951" width="16" style="24" bestFit="1" customWidth="1"/>
    <col min="7952" max="7952" width="14.71875" style="24" bestFit="1" customWidth="1"/>
    <col min="7953" max="7953" width="16" style="24" bestFit="1" customWidth="1"/>
    <col min="7954" max="7954" width="12.71875" style="24" bestFit="1" customWidth="1"/>
    <col min="7955" max="7955" width="14.71875" style="24" bestFit="1" customWidth="1"/>
    <col min="7956" max="8193" width="9.27734375" style="24"/>
    <col min="8194" max="8194" width="6.27734375" style="24" customWidth="1"/>
    <col min="8195" max="8195" width="4.38671875" style="24" customWidth="1"/>
    <col min="8196" max="8196" width="38.38671875" style="24" customWidth="1"/>
    <col min="8197" max="8198" width="0" style="24" hidden="1" customWidth="1"/>
    <col min="8199" max="8199" width="28.27734375" style="24" customWidth="1"/>
    <col min="8200" max="8200" width="19.27734375" style="24" bestFit="1" customWidth="1"/>
    <col min="8201" max="8201" width="18" style="24" bestFit="1" customWidth="1"/>
    <col min="8202" max="8202" width="16.27734375" style="24" bestFit="1" customWidth="1"/>
    <col min="8203" max="8203" width="16.609375" style="24" bestFit="1" customWidth="1"/>
    <col min="8204" max="8204" width="16.38671875" style="24" bestFit="1" customWidth="1"/>
    <col min="8205" max="8205" width="15.609375" style="24" bestFit="1" customWidth="1"/>
    <col min="8206" max="8206" width="14.71875" style="24" bestFit="1" customWidth="1"/>
    <col min="8207" max="8207" width="16" style="24" bestFit="1" customWidth="1"/>
    <col min="8208" max="8208" width="14.71875" style="24" bestFit="1" customWidth="1"/>
    <col min="8209" max="8209" width="16" style="24" bestFit="1" customWidth="1"/>
    <col min="8210" max="8210" width="12.71875" style="24" bestFit="1" customWidth="1"/>
    <col min="8211" max="8211" width="14.71875" style="24" bestFit="1" customWidth="1"/>
    <col min="8212" max="8449" width="9.27734375" style="24"/>
    <col min="8450" max="8450" width="6.27734375" style="24" customWidth="1"/>
    <col min="8451" max="8451" width="4.38671875" style="24" customWidth="1"/>
    <col min="8452" max="8452" width="38.38671875" style="24" customWidth="1"/>
    <col min="8453" max="8454" width="0" style="24" hidden="1" customWidth="1"/>
    <col min="8455" max="8455" width="28.27734375" style="24" customWidth="1"/>
    <col min="8456" max="8456" width="19.27734375" style="24" bestFit="1" customWidth="1"/>
    <col min="8457" max="8457" width="18" style="24" bestFit="1" customWidth="1"/>
    <col min="8458" max="8458" width="16.27734375" style="24" bestFit="1" customWidth="1"/>
    <col min="8459" max="8459" width="16.609375" style="24" bestFit="1" customWidth="1"/>
    <col min="8460" max="8460" width="16.38671875" style="24" bestFit="1" customWidth="1"/>
    <col min="8461" max="8461" width="15.609375" style="24" bestFit="1" customWidth="1"/>
    <col min="8462" max="8462" width="14.71875" style="24" bestFit="1" customWidth="1"/>
    <col min="8463" max="8463" width="16" style="24" bestFit="1" customWidth="1"/>
    <col min="8464" max="8464" width="14.71875" style="24" bestFit="1" customWidth="1"/>
    <col min="8465" max="8465" width="16" style="24" bestFit="1" customWidth="1"/>
    <col min="8466" max="8466" width="12.71875" style="24" bestFit="1" customWidth="1"/>
    <col min="8467" max="8467" width="14.71875" style="24" bestFit="1" customWidth="1"/>
    <col min="8468" max="8705" width="9.27734375" style="24"/>
    <col min="8706" max="8706" width="6.27734375" style="24" customWidth="1"/>
    <col min="8707" max="8707" width="4.38671875" style="24" customWidth="1"/>
    <col min="8708" max="8708" width="38.38671875" style="24" customWidth="1"/>
    <col min="8709" max="8710" width="0" style="24" hidden="1" customWidth="1"/>
    <col min="8711" max="8711" width="28.27734375" style="24" customWidth="1"/>
    <col min="8712" max="8712" width="19.27734375" style="24" bestFit="1" customWidth="1"/>
    <col min="8713" max="8713" width="18" style="24" bestFit="1" customWidth="1"/>
    <col min="8714" max="8714" width="16.27734375" style="24" bestFit="1" customWidth="1"/>
    <col min="8715" max="8715" width="16.609375" style="24" bestFit="1" customWidth="1"/>
    <col min="8716" max="8716" width="16.38671875" style="24" bestFit="1" customWidth="1"/>
    <col min="8717" max="8717" width="15.609375" style="24" bestFit="1" customWidth="1"/>
    <col min="8718" max="8718" width="14.71875" style="24" bestFit="1" customWidth="1"/>
    <col min="8719" max="8719" width="16" style="24" bestFit="1" customWidth="1"/>
    <col min="8720" max="8720" width="14.71875" style="24" bestFit="1" customWidth="1"/>
    <col min="8721" max="8721" width="16" style="24" bestFit="1" customWidth="1"/>
    <col min="8722" max="8722" width="12.71875" style="24" bestFit="1" customWidth="1"/>
    <col min="8723" max="8723" width="14.71875" style="24" bestFit="1" customWidth="1"/>
    <col min="8724" max="8961" width="9.27734375" style="24"/>
    <col min="8962" max="8962" width="6.27734375" style="24" customWidth="1"/>
    <col min="8963" max="8963" width="4.38671875" style="24" customWidth="1"/>
    <col min="8964" max="8964" width="38.38671875" style="24" customWidth="1"/>
    <col min="8965" max="8966" width="0" style="24" hidden="1" customWidth="1"/>
    <col min="8967" max="8967" width="28.27734375" style="24" customWidth="1"/>
    <col min="8968" max="8968" width="19.27734375" style="24" bestFit="1" customWidth="1"/>
    <col min="8969" max="8969" width="18" style="24" bestFit="1" customWidth="1"/>
    <col min="8970" max="8970" width="16.27734375" style="24" bestFit="1" customWidth="1"/>
    <col min="8971" max="8971" width="16.609375" style="24" bestFit="1" customWidth="1"/>
    <col min="8972" max="8972" width="16.38671875" style="24" bestFit="1" customWidth="1"/>
    <col min="8973" max="8973" width="15.609375" style="24" bestFit="1" customWidth="1"/>
    <col min="8974" max="8974" width="14.71875" style="24" bestFit="1" customWidth="1"/>
    <col min="8975" max="8975" width="16" style="24" bestFit="1" customWidth="1"/>
    <col min="8976" max="8976" width="14.71875" style="24" bestFit="1" customWidth="1"/>
    <col min="8977" max="8977" width="16" style="24" bestFit="1" customWidth="1"/>
    <col min="8978" max="8978" width="12.71875" style="24" bestFit="1" customWidth="1"/>
    <col min="8979" max="8979" width="14.71875" style="24" bestFit="1" customWidth="1"/>
    <col min="8980" max="9217" width="9.27734375" style="24"/>
    <col min="9218" max="9218" width="6.27734375" style="24" customWidth="1"/>
    <col min="9219" max="9219" width="4.38671875" style="24" customWidth="1"/>
    <col min="9220" max="9220" width="38.38671875" style="24" customWidth="1"/>
    <col min="9221" max="9222" width="0" style="24" hidden="1" customWidth="1"/>
    <col min="9223" max="9223" width="28.27734375" style="24" customWidth="1"/>
    <col min="9224" max="9224" width="19.27734375" style="24" bestFit="1" customWidth="1"/>
    <col min="9225" max="9225" width="18" style="24" bestFit="1" customWidth="1"/>
    <col min="9226" max="9226" width="16.27734375" style="24" bestFit="1" customWidth="1"/>
    <col min="9227" max="9227" width="16.609375" style="24" bestFit="1" customWidth="1"/>
    <col min="9228" max="9228" width="16.38671875" style="24" bestFit="1" customWidth="1"/>
    <col min="9229" max="9229" width="15.609375" style="24" bestFit="1" customWidth="1"/>
    <col min="9230" max="9230" width="14.71875" style="24" bestFit="1" customWidth="1"/>
    <col min="9231" max="9231" width="16" style="24" bestFit="1" customWidth="1"/>
    <col min="9232" max="9232" width="14.71875" style="24" bestFit="1" customWidth="1"/>
    <col min="9233" max="9233" width="16" style="24" bestFit="1" customWidth="1"/>
    <col min="9234" max="9234" width="12.71875" style="24" bestFit="1" customWidth="1"/>
    <col min="9235" max="9235" width="14.71875" style="24" bestFit="1" customWidth="1"/>
    <col min="9236" max="9473" width="9.27734375" style="24"/>
    <col min="9474" max="9474" width="6.27734375" style="24" customWidth="1"/>
    <col min="9475" max="9475" width="4.38671875" style="24" customWidth="1"/>
    <col min="9476" max="9476" width="38.38671875" style="24" customWidth="1"/>
    <col min="9477" max="9478" width="0" style="24" hidden="1" customWidth="1"/>
    <col min="9479" max="9479" width="28.27734375" style="24" customWidth="1"/>
    <col min="9480" max="9480" width="19.27734375" style="24" bestFit="1" customWidth="1"/>
    <col min="9481" max="9481" width="18" style="24" bestFit="1" customWidth="1"/>
    <col min="9482" max="9482" width="16.27734375" style="24" bestFit="1" customWidth="1"/>
    <col min="9483" max="9483" width="16.609375" style="24" bestFit="1" customWidth="1"/>
    <col min="9484" max="9484" width="16.38671875" style="24" bestFit="1" customWidth="1"/>
    <col min="9485" max="9485" width="15.609375" style="24" bestFit="1" customWidth="1"/>
    <col min="9486" max="9486" width="14.71875" style="24" bestFit="1" customWidth="1"/>
    <col min="9487" max="9487" width="16" style="24" bestFit="1" customWidth="1"/>
    <col min="9488" max="9488" width="14.71875" style="24" bestFit="1" customWidth="1"/>
    <col min="9489" max="9489" width="16" style="24" bestFit="1" customWidth="1"/>
    <col min="9490" max="9490" width="12.71875" style="24" bestFit="1" customWidth="1"/>
    <col min="9491" max="9491" width="14.71875" style="24" bestFit="1" customWidth="1"/>
    <col min="9492" max="9729" width="9.27734375" style="24"/>
    <col min="9730" max="9730" width="6.27734375" style="24" customWidth="1"/>
    <col min="9731" max="9731" width="4.38671875" style="24" customWidth="1"/>
    <col min="9732" max="9732" width="38.38671875" style="24" customWidth="1"/>
    <col min="9733" max="9734" width="0" style="24" hidden="1" customWidth="1"/>
    <col min="9735" max="9735" width="28.27734375" style="24" customWidth="1"/>
    <col min="9736" max="9736" width="19.27734375" style="24" bestFit="1" customWidth="1"/>
    <col min="9737" max="9737" width="18" style="24" bestFit="1" customWidth="1"/>
    <col min="9738" max="9738" width="16.27734375" style="24" bestFit="1" customWidth="1"/>
    <col min="9739" max="9739" width="16.609375" style="24" bestFit="1" customWidth="1"/>
    <col min="9740" max="9740" width="16.38671875" style="24" bestFit="1" customWidth="1"/>
    <col min="9741" max="9741" width="15.609375" style="24" bestFit="1" customWidth="1"/>
    <col min="9742" max="9742" width="14.71875" style="24" bestFit="1" customWidth="1"/>
    <col min="9743" max="9743" width="16" style="24" bestFit="1" customWidth="1"/>
    <col min="9744" max="9744" width="14.71875" style="24" bestFit="1" customWidth="1"/>
    <col min="9745" max="9745" width="16" style="24" bestFit="1" customWidth="1"/>
    <col min="9746" max="9746" width="12.71875" style="24" bestFit="1" customWidth="1"/>
    <col min="9747" max="9747" width="14.71875" style="24" bestFit="1" customWidth="1"/>
    <col min="9748" max="9985" width="9.27734375" style="24"/>
    <col min="9986" max="9986" width="6.27734375" style="24" customWidth="1"/>
    <col min="9987" max="9987" width="4.38671875" style="24" customWidth="1"/>
    <col min="9988" max="9988" width="38.38671875" style="24" customWidth="1"/>
    <col min="9989" max="9990" width="0" style="24" hidden="1" customWidth="1"/>
    <col min="9991" max="9991" width="28.27734375" style="24" customWidth="1"/>
    <col min="9992" max="9992" width="19.27734375" style="24" bestFit="1" customWidth="1"/>
    <col min="9993" max="9993" width="18" style="24" bestFit="1" customWidth="1"/>
    <col min="9994" max="9994" width="16.27734375" style="24" bestFit="1" customWidth="1"/>
    <col min="9995" max="9995" width="16.609375" style="24" bestFit="1" customWidth="1"/>
    <col min="9996" max="9996" width="16.38671875" style="24" bestFit="1" customWidth="1"/>
    <col min="9997" max="9997" width="15.609375" style="24" bestFit="1" customWidth="1"/>
    <col min="9998" max="9998" width="14.71875" style="24" bestFit="1" customWidth="1"/>
    <col min="9999" max="9999" width="16" style="24" bestFit="1" customWidth="1"/>
    <col min="10000" max="10000" width="14.71875" style="24" bestFit="1" customWidth="1"/>
    <col min="10001" max="10001" width="16" style="24" bestFit="1" customWidth="1"/>
    <col min="10002" max="10002" width="12.71875" style="24" bestFit="1" customWidth="1"/>
    <col min="10003" max="10003" width="14.71875" style="24" bestFit="1" customWidth="1"/>
    <col min="10004" max="10241" width="9.27734375" style="24"/>
    <col min="10242" max="10242" width="6.27734375" style="24" customWidth="1"/>
    <col min="10243" max="10243" width="4.38671875" style="24" customWidth="1"/>
    <col min="10244" max="10244" width="38.38671875" style="24" customWidth="1"/>
    <col min="10245" max="10246" width="0" style="24" hidden="1" customWidth="1"/>
    <col min="10247" max="10247" width="28.27734375" style="24" customWidth="1"/>
    <col min="10248" max="10248" width="19.27734375" style="24" bestFit="1" customWidth="1"/>
    <col min="10249" max="10249" width="18" style="24" bestFit="1" customWidth="1"/>
    <col min="10250" max="10250" width="16.27734375" style="24" bestFit="1" customWidth="1"/>
    <col min="10251" max="10251" width="16.609375" style="24" bestFit="1" customWidth="1"/>
    <col min="10252" max="10252" width="16.38671875" style="24" bestFit="1" customWidth="1"/>
    <col min="10253" max="10253" width="15.609375" style="24" bestFit="1" customWidth="1"/>
    <col min="10254" max="10254" width="14.71875" style="24" bestFit="1" customWidth="1"/>
    <col min="10255" max="10255" width="16" style="24" bestFit="1" customWidth="1"/>
    <col min="10256" max="10256" width="14.71875" style="24" bestFit="1" customWidth="1"/>
    <col min="10257" max="10257" width="16" style="24" bestFit="1" customWidth="1"/>
    <col min="10258" max="10258" width="12.71875" style="24" bestFit="1" customWidth="1"/>
    <col min="10259" max="10259" width="14.71875" style="24" bestFit="1" customWidth="1"/>
    <col min="10260" max="10497" width="9.27734375" style="24"/>
    <col min="10498" max="10498" width="6.27734375" style="24" customWidth="1"/>
    <col min="10499" max="10499" width="4.38671875" style="24" customWidth="1"/>
    <col min="10500" max="10500" width="38.38671875" style="24" customWidth="1"/>
    <col min="10501" max="10502" width="0" style="24" hidden="1" customWidth="1"/>
    <col min="10503" max="10503" width="28.27734375" style="24" customWidth="1"/>
    <col min="10504" max="10504" width="19.27734375" style="24" bestFit="1" customWidth="1"/>
    <col min="10505" max="10505" width="18" style="24" bestFit="1" customWidth="1"/>
    <col min="10506" max="10506" width="16.27734375" style="24" bestFit="1" customWidth="1"/>
    <col min="10507" max="10507" width="16.609375" style="24" bestFit="1" customWidth="1"/>
    <col min="10508" max="10508" width="16.38671875" style="24" bestFit="1" customWidth="1"/>
    <col min="10509" max="10509" width="15.609375" style="24" bestFit="1" customWidth="1"/>
    <col min="10510" max="10510" width="14.71875" style="24" bestFit="1" customWidth="1"/>
    <col min="10511" max="10511" width="16" style="24" bestFit="1" customWidth="1"/>
    <col min="10512" max="10512" width="14.71875" style="24" bestFit="1" customWidth="1"/>
    <col min="10513" max="10513" width="16" style="24" bestFit="1" customWidth="1"/>
    <col min="10514" max="10514" width="12.71875" style="24" bestFit="1" customWidth="1"/>
    <col min="10515" max="10515" width="14.71875" style="24" bestFit="1" customWidth="1"/>
    <col min="10516" max="10753" width="9.27734375" style="24"/>
    <col min="10754" max="10754" width="6.27734375" style="24" customWidth="1"/>
    <col min="10755" max="10755" width="4.38671875" style="24" customWidth="1"/>
    <col min="10756" max="10756" width="38.38671875" style="24" customWidth="1"/>
    <col min="10757" max="10758" width="0" style="24" hidden="1" customWidth="1"/>
    <col min="10759" max="10759" width="28.27734375" style="24" customWidth="1"/>
    <col min="10760" max="10760" width="19.27734375" style="24" bestFit="1" customWidth="1"/>
    <col min="10761" max="10761" width="18" style="24" bestFit="1" customWidth="1"/>
    <col min="10762" max="10762" width="16.27734375" style="24" bestFit="1" customWidth="1"/>
    <col min="10763" max="10763" width="16.609375" style="24" bestFit="1" customWidth="1"/>
    <col min="10764" max="10764" width="16.38671875" style="24" bestFit="1" customWidth="1"/>
    <col min="10765" max="10765" width="15.609375" style="24" bestFit="1" customWidth="1"/>
    <col min="10766" max="10766" width="14.71875" style="24" bestFit="1" customWidth="1"/>
    <col min="10767" max="10767" width="16" style="24" bestFit="1" customWidth="1"/>
    <col min="10768" max="10768" width="14.71875" style="24" bestFit="1" customWidth="1"/>
    <col min="10769" max="10769" width="16" style="24" bestFit="1" customWidth="1"/>
    <col min="10770" max="10770" width="12.71875" style="24" bestFit="1" customWidth="1"/>
    <col min="10771" max="10771" width="14.71875" style="24" bestFit="1" customWidth="1"/>
    <col min="10772" max="11009" width="9.27734375" style="24"/>
    <col min="11010" max="11010" width="6.27734375" style="24" customWidth="1"/>
    <col min="11011" max="11011" width="4.38671875" style="24" customWidth="1"/>
    <col min="11012" max="11012" width="38.38671875" style="24" customWidth="1"/>
    <col min="11013" max="11014" width="0" style="24" hidden="1" customWidth="1"/>
    <col min="11015" max="11015" width="28.27734375" style="24" customWidth="1"/>
    <col min="11016" max="11016" width="19.27734375" style="24" bestFit="1" customWidth="1"/>
    <col min="11017" max="11017" width="18" style="24" bestFit="1" customWidth="1"/>
    <col min="11018" max="11018" width="16.27734375" style="24" bestFit="1" customWidth="1"/>
    <col min="11019" max="11019" width="16.609375" style="24" bestFit="1" customWidth="1"/>
    <col min="11020" max="11020" width="16.38671875" style="24" bestFit="1" customWidth="1"/>
    <col min="11021" max="11021" width="15.609375" style="24" bestFit="1" customWidth="1"/>
    <col min="11022" max="11022" width="14.71875" style="24" bestFit="1" customWidth="1"/>
    <col min="11023" max="11023" width="16" style="24" bestFit="1" customWidth="1"/>
    <col min="11024" max="11024" width="14.71875" style="24" bestFit="1" customWidth="1"/>
    <col min="11025" max="11025" width="16" style="24" bestFit="1" customWidth="1"/>
    <col min="11026" max="11026" width="12.71875" style="24" bestFit="1" customWidth="1"/>
    <col min="11027" max="11027" width="14.71875" style="24" bestFit="1" customWidth="1"/>
    <col min="11028" max="11265" width="9.27734375" style="24"/>
    <col min="11266" max="11266" width="6.27734375" style="24" customWidth="1"/>
    <col min="11267" max="11267" width="4.38671875" style="24" customWidth="1"/>
    <col min="11268" max="11268" width="38.38671875" style="24" customWidth="1"/>
    <col min="11269" max="11270" width="0" style="24" hidden="1" customWidth="1"/>
    <col min="11271" max="11271" width="28.27734375" style="24" customWidth="1"/>
    <col min="11272" max="11272" width="19.27734375" style="24" bestFit="1" customWidth="1"/>
    <col min="11273" max="11273" width="18" style="24" bestFit="1" customWidth="1"/>
    <col min="11274" max="11274" width="16.27734375" style="24" bestFit="1" customWidth="1"/>
    <col min="11275" max="11275" width="16.609375" style="24" bestFit="1" customWidth="1"/>
    <col min="11276" max="11276" width="16.38671875" style="24" bestFit="1" customWidth="1"/>
    <col min="11277" max="11277" width="15.609375" style="24" bestFit="1" customWidth="1"/>
    <col min="11278" max="11278" width="14.71875" style="24" bestFit="1" customWidth="1"/>
    <col min="11279" max="11279" width="16" style="24" bestFit="1" customWidth="1"/>
    <col min="11280" max="11280" width="14.71875" style="24" bestFit="1" customWidth="1"/>
    <col min="11281" max="11281" width="16" style="24" bestFit="1" customWidth="1"/>
    <col min="11282" max="11282" width="12.71875" style="24" bestFit="1" customWidth="1"/>
    <col min="11283" max="11283" width="14.71875" style="24" bestFit="1" customWidth="1"/>
    <col min="11284" max="11521" width="9.27734375" style="24"/>
    <col min="11522" max="11522" width="6.27734375" style="24" customWidth="1"/>
    <col min="11523" max="11523" width="4.38671875" style="24" customWidth="1"/>
    <col min="11524" max="11524" width="38.38671875" style="24" customWidth="1"/>
    <col min="11525" max="11526" width="0" style="24" hidden="1" customWidth="1"/>
    <col min="11527" max="11527" width="28.27734375" style="24" customWidth="1"/>
    <col min="11528" max="11528" width="19.27734375" style="24" bestFit="1" customWidth="1"/>
    <col min="11529" max="11529" width="18" style="24" bestFit="1" customWidth="1"/>
    <col min="11530" max="11530" width="16.27734375" style="24" bestFit="1" customWidth="1"/>
    <col min="11531" max="11531" width="16.609375" style="24" bestFit="1" customWidth="1"/>
    <col min="11532" max="11532" width="16.38671875" style="24" bestFit="1" customWidth="1"/>
    <col min="11533" max="11533" width="15.609375" style="24" bestFit="1" customWidth="1"/>
    <col min="11534" max="11534" width="14.71875" style="24" bestFit="1" customWidth="1"/>
    <col min="11535" max="11535" width="16" style="24" bestFit="1" customWidth="1"/>
    <col min="11536" max="11536" width="14.71875" style="24" bestFit="1" customWidth="1"/>
    <col min="11537" max="11537" width="16" style="24" bestFit="1" customWidth="1"/>
    <col min="11538" max="11538" width="12.71875" style="24" bestFit="1" customWidth="1"/>
    <col min="11539" max="11539" width="14.71875" style="24" bestFit="1" customWidth="1"/>
    <col min="11540" max="11777" width="9.27734375" style="24"/>
    <col min="11778" max="11778" width="6.27734375" style="24" customWidth="1"/>
    <col min="11779" max="11779" width="4.38671875" style="24" customWidth="1"/>
    <col min="11780" max="11780" width="38.38671875" style="24" customWidth="1"/>
    <col min="11781" max="11782" width="0" style="24" hidden="1" customWidth="1"/>
    <col min="11783" max="11783" width="28.27734375" style="24" customWidth="1"/>
    <col min="11784" max="11784" width="19.27734375" style="24" bestFit="1" customWidth="1"/>
    <col min="11785" max="11785" width="18" style="24" bestFit="1" customWidth="1"/>
    <col min="11786" max="11786" width="16.27734375" style="24" bestFit="1" customWidth="1"/>
    <col min="11787" max="11787" width="16.609375" style="24" bestFit="1" customWidth="1"/>
    <col min="11788" max="11788" width="16.38671875" style="24" bestFit="1" customWidth="1"/>
    <col min="11789" max="11789" width="15.609375" style="24" bestFit="1" customWidth="1"/>
    <col min="11790" max="11790" width="14.71875" style="24" bestFit="1" customWidth="1"/>
    <col min="11791" max="11791" width="16" style="24" bestFit="1" customWidth="1"/>
    <col min="11792" max="11792" width="14.71875" style="24" bestFit="1" customWidth="1"/>
    <col min="11793" max="11793" width="16" style="24" bestFit="1" customWidth="1"/>
    <col min="11794" max="11794" width="12.71875" style="24" bestFit="1" customWidth="1"/>
    <col min="11795" max="11795" width="14.71875" style="24" bestFit="1" customWidth="1"/>
    <col min="11796" max="12033" width="9.27734375" style="24"/>
    <col min="12034" max="12034" width="6.27734375" style="24" customWidth="1"/>
    <col min="12035" max="12035" width="4.38671875" style="24" customWidth="1"/>
    <col min="12036" max="12036" width="38.38671875" style="24" customWidth="1"/>
    <col min="12037" max="12038" width="0" style="24" hidden="1" customWidth="1"/>
    <col min="12039" max="12039" width="28.27734375" style="24" customWidth="1"/>
    <col min="12040" max="12040" width="19.27734375" style="24" bestFit="1" customWidth="1"/>
    <col min="12041" max="12041" width="18" style="24" bestFit="1" customWidth="1"/>
    <col min="12042" max="12042" width="16.27734375" style="24" bestFit="1" customWidth="1"/>
    <col min="12043" max="12043" width="16.609375" style="24" bestFit="1" customWidth="1"/>
    <col min="12044" max="12044" width="16.38671875" style="24" bestFit="1" customWidth="1"/>
    <col min="12045" max="12045" width="15.609375" style="24" bestFit="1" customWidth="1"/>
    <col min="12046" max="12046" width="14.71875" style="24" bestFit="1" customWidth="1"/>
    <col min="12047" max="12047" width="16" style="24" bestFit="1" customWidth="1"/>
    <col min="12048" max="12048" width="14.71875" style="24" bestFit="1" customWidth="1"/>
    <col min="12049" max="12049" width="16" style="24" bestFit="1" customWidth="1"/>
    <col min="12050" max="12050" width="12.71875" style="24" bestFit="1" customWidth="1"/>
    <col min="12051" max="12051" width="14.71875" style="24" bestFit="1" customWidth="1"/>
    <col min="12052" max="12289" width="9.27734375" style="24"/>
    <col min="12290" max="12290" width="6.27734375" style="24" customWidth="1"/>
    <col min="12291" max="12291" width="4.38671875" style="24" customWidth="1"/>
    <col min="12292" max="12292" width="38.38671875" style="24" customWidth="1"/>
    <col min="12293" max="12294" width="0" style="24" hidden="1" customWidth="1"/>
    <col min="12295" max="12295" width="28.27734375" style="24" customWidth="1"/>
    <col min="12296" max="12296" width="19.27734375" style="24" bestFit="1" customWidth="1"/>
    <col min="12297" max="12297" width="18" style="24" bestFit="1" customWidth="1"/>
    <col min="12298" max="12298" width="16.27734375" style="24" bestFit="1" customWidth="1"/>
    <col min="12299" max="12299" width="16.609375" style="24" bestFit="1" customWidth="1"/>
    <col min="12300" max="12300" width="16.38671875" style="24" bestFit="1" customWidth="1"/>
    <col min="12301" max="12301" width="15.609375" style="24" bestFit="1" customWidth="1"/>
    <col min="12302" max="12302" width="14.71875" style="24" bestFit="1" customWidth="1"/>
    <col min="12303" max="12303" width="16" style="24" bestFit="1" customWidth="1"/>
    <col min="12304" max="12304" width="14.71875" style="24" bestFit="1" customWidth="1"/>
    <col min="12305" max="12305" width="16" style="24" bestFit="1" customWidth="1"/>
    <col min="12306" max="12306" width="12.71875" style="24" bestFit="1" customWidth="1"/>
    <col min="12307" max="12307" width="14.71875" style="24" bestFit="1" customWidth="1"/>
    <col min="12308" max="12545" width="9.27734375" style="24"/>
    <col min="12546" max="12546" width="6.27734375" style="24" customWidth="1"/>
    <col min="12547" max="12547" width="4.38671875" style="24" customWidth="1"/>
    <col min="12548" max="12548" width="38.38671875" style="24" customWidth="1"/>
    <col min="12549" max="12550" width="0" style="24" hidden="1" customWidth="1"/>
    <col min="12551" max="12551" width="28.27734375" style="24" customWidth="1"/>
    <col min="12552" max="12552" width="19.27734375" style="24" bestFit="1" customWidth="1"/>
    <col min="12553" max="12553" width="18" style="24" bestFit="1" customWidth="1"/>
    <col min="12554" max="12554" width="16.27734375" style="24" bestFit="1" customWidth="1"/>
    <col min="12555" max="12555" width="16.609375" style="24" bestFit="1" customWidth="1"/>
    <col min="12556" max="12556" width="16.38671875" style="24" bestFit="1" customWidth="1"/>
    <col min="12557" max="12557" width="15.609375" style="24" bestFit="1" customWidth="1"/>
    <col min="12558" max="12558" width="14.71875" style="24" bestFit="1" customWidth="1"/>
    <col min="12559" max="12559" width="16" style="24" bestFit="1" customWidth="1"/>
    <col min="12560" max="12560" width="14.71875" style="24" bestFit="1" customWidth="1"/>
    <col min="12561" max="12561" width="16" style="24" bestFit="1" customWidth="1"/>
    <col min="12562" max="12562" width="12.71875" style="24" bestFit="1" customWidth="1"/>
    <col min="12563" max="12563" width="14.71875" style="24" bestFit="1" customWidth="1"/>
    <col min="12564" max="12801" width="9.27734375" style="24"/>
    <col min="12802" max="12802" width="6.27734375" style="24" customWidth="1"/>
    <col min="12803" max="12803" width="4.38671875" style="24" customWidth="1"/>
    <col min="12804" max="12804" width="38.38671875" style="24" customWidth="1"/>
    <col min="12805" max="12806" width="0" style="24" hidden="1" customWidth="1"/>
    <col min="12807" max="12807" width="28.27734375" style="24" customWidth="1"/>
    <col min="12808" max="12808" width="19.27734375" style="24" bestFit="1" customWidth="1"/>
    <col min="12809" max="12809" width="18" style="24" bestFit="1" customWidth="1"/>
    <col min="12810" max="12810" width="16.27734375" style="24" bestFit="1" customWidth="1"/>
    <col min="12811" max="12811" width="16.609375" style="24" bestFit="1" customWidth="1"/>
    <col min="12812" max="12812" width="16.38671875" style="24" bestFit="1" customWidth="1"/>
    <col min="12813" max="12813" width="15.609375" style="24" bestFit="1" customWidth="1"/>
    <col min="12814" max="12814" width="14.71875" style="24" bestFit="1" customWidth="1"/>
    <col min="12815" max="12815" width="16" style="24" bestFit="1" customWidth="1"/>
    <col min="12816" max="12816" width="14.71875" style="24" bestFit="1" customWidth="1"/>
    <col min="12817" max="12817" width="16" style="24" bestFit="1" customWidth="1"/>
    <col min="12818" max="12818" width="12.71875" style="24" bestFit="1" customWidth="1"/>
    <col min="12819" max="12819" width="14.71875" style="24" bestFit="1" customWidth="1"/>
    <col min="12820" max="13057" width="9.27734375" style="24"/>
    <col min="13058" max="13058" width="6.27734375" style="24" customWidth="1"/>
    <col min="13059" max="13059" width="4.38671875" style="24" customWidth="1"/>
    <col min="13060" max="13060" width="38.38671875" style="24" customWidth="1"/>
    <col min="13061" max="13062" width="0" style="24" hidden="1" customWidth="1"/>
    <col min="13063" max="13063" width="28.27734375" style="24" customWidth="1"/>
    <col min="13064" max="13064" width="19.27734375" style="24" bestFit="1" customWidth="1"/>
    <col min="13065" max="13065" width="18" style="24" bestFit="1" customWidth="1"/>
    <col min="13066" max="13066" width="16.27734375" style="24" bestFit="1" customWidth="1"/>
    <col min="13067" max="13067" width="16.609375" style="24" bestFit="1" customWidth="1"/>
    <col min="13068" max="13068" width="16.38671875" style="24" bestFit="1" customWidth="1"/>
    <col min="13069" max="13069" width="15.609375" style="24" bestFit="1" customWidth="1"/>
    <col min="13070" max="13070" width="14.71875" style="24" bestFit="1" customWidth="1"/>
    <col min="13071" max="13071" width="16" style="24" bestFit="1" customWidth="1"/>
    <col min="13072" max="13072" width="14.71875" style="24" bestFit="1" customWidth="1"/>
    <col min="13073" max="13073" width="16" style="24" bestFit="1" customWidth="1"/>
    <col min="13074" max="13074" width="12.71875" style="24" bestFit="1" customWidth="1"/>
    <col min="13075" max="13075" width="14.71875" style="24" bestFit="1" customWidth="1"/>
    <col min="13076" max="13313" width="9.27734375" style="24"/>
    <col min="13314" max="13314" width="6.27734375" style="24" customWidth="1"/>
    <col min="13315" max="13315" width="4.38671875" style="24" customWidth="1"/>
    <col min="13316" max="13316" width="38.38671875" style="24" customWidth="1"/>
    <col min="13317" max="13318" width="0" style="24" hidden="1" customWidth="1"/>
    <col min="13319" max="13319" width="28.27734375" style="24" customWidth="1"/>
    <col min="13320" max="13320" width="19.27734375" style="24" bestFit="1" customWidth="1"/>
    <col min="13321" max="13321" width="18" style="24" bestFit="1" customWidth="1"/>
    <col min="13322" max="13322" width="16.27734375" style="24" bestFit="1" customWidth="1"/>
    <col min="13323" max="13323" width="16.609375" style="24" bestFit="1" customWidth="1"/>
    <col min="13324" max="13324" width="16.38671875" style="24" bestFit="1" customWidth="1"/>
    <col min="13325" max="13325" width="15.609375" style="24" bestFit="1" customWidth="1"/>
    <col min="13326" max="13326" width="14.71875" style="24" bestFit="1" customWidth="1"/>
    <col min="13327" max="13327" width="16" style="24" bestFit="1" customWidth="1"/>
    <col min="13328" max="13328" width="14.71875" style="24" bestFit="1" customWidth="1"/>
    <col min="13329" max="13329" width="16" style="24" bestFit="1" customWidth="1"/>
    <col min="13330" max="13330" width="12.71875" style="24" bestFit="1" customWidth="1"/>
    <col min="13331" max="13331" width="14.71875" style="24" bestFit="1" customWidth="1"/>
    <col min="13332" max="13569" width="9.27734375" style="24"/>
    <col min="13570" max="13570" width="6.27734375" style="24" customWidth="1"/>
    <col min="13571" max="13571" width="4.38671875" style="24" customWidth="1"/>
    <col min="13572" max="13572" width="38.38671875" style="24" customWidth="1"/>
    <col min="13573" max="13574" width="0" style="24" hidden="1" customWidth="1"/>
    <col min="13575" max="13575" width="28.27734375" style="24" customWidth="1"/>
    <col min="13576" max="13576" width="19.27734375" style="24" bestFit="1" customWidth="1"/>
    <col min="13577" max="13577" width="18" style="24" bestFit="1" customWidth="1"/>
    <col min="13578" max="13578" width="16.27734375" style="24" bestFit="1" customWidth="1"/>
    <col min="13579" max="13579" width="16.609375" style="24" bestFit="1" customWidth="1"/>
    <col min="13580" max="13580" width="16.38671875" style="24" bestFit="1" customWidth="1"/>
    <col min="13581" max="13581" width="15.609375" style="24" bestFit="1" customWidth="1"/>
    <col min="13582" max="13582" width="14.71875" style="24" bestFit="1" customWidth="1"/>
    <col min="13583" max="13583" width="16" style="24" bestFit="1" customWidth="1"/>
    <col min="13584" max="13584" width="14.71875" style="24" bestFit="1" customWidth="1"/>
    <col min="13585" max="13585" width="16" style="24" bestFit="1" customWidth="1"/>
    <col min="13586" max="13586" width="12.71875" style="24" bestFit="1" customWidth="1"/>
    <col min="13587" max="13587" width="14.71875" style="24" bestFit="1" customWidth="1"/>
    <col min="13588" max="13825" width="9.27734375" style="24"/>
    <col min="13826" max="13826" width="6.27734375" style="24" customWidth="1"/>
    <col min="13827" max="13827" width="4.38671875" style="24" customWidth="1"/>
    <col min="13828" max="13828" width="38.38671875" style="24" customWidth="1"/>
    <col min="13829" max="13830" width="0" style="24" hidden="1" customWidth="1"/>
    <col min="13831" max="13831" width="28.27734375" style="24" customWidth="1"/>
    <col min="13832" max="13832" width="19.27734375" style="24" bestFit="1" customWidth="1"/>
    <col min="13833" max="13833" width="18" style="24" bestFit="1" customWidth="1"/>
    <col min="13834" max="13834" width="16.27734375" style="24" bestFit="1" customWidth="1"/>
    <col min="13835" max="13835" width="16.609375" style="24" bestFit="1" customWidth="1"/>
    <col min="13836" max="13836" width="16.38671875" style="24" bestFit="1" customWidth="1"/>
    <col min="13837" max="13837" width="15.609375" style="24" bestFit="1" customWidth="1"/>
    <col min="13838" max="13838" width="14.71875" style="24" bestFit="1" customWidth="1"/>
    <col min="13839" max="13839" width="16" style="24" bestFit="1" customWidth="1"/>
    <col min="13840" max="13840" width="14.71875" style="24" bestFit="1" customWidth="1"/>
    <col min="13841" max="13841" width="16" style="24" bestFit="1" customWidth="1"/>
    <col min="13842" max="13842" width="12.71875" style="24" bestFit="1" customWidth="1"/>
    <col min="13843" max="13843" width="14.71875" style="24" bestFit="1" customWidth="1"/>
    <col min="13844" max="14081" width="9.27734375" style="24"/>
    <col min="14082" max="14082" width="6.27734375" style="24" customWidth="1"/>
    <col min="14083" max="14083" width="4.38671875" style="24" customWidth="1"/>
    <col min="14084" max="14084" width="38.38671875" style="24" customWidth="1"/>
    <col min="14085" max="14086" width="0" style="24" hidden="1" customWidth="1"/>
    <col min="14087" max="14087" width="28.27734375" style="24" customWidth="1"/>
    <col min="14088" max="14088" width="19.27734375" style="24" bestFit="1" customWidth="1"/>
    <col min="14089" max="14089" width="18" style="24" bestFit="1" customWidth="1"/>
    <col min="14090" max="14090" width="16.27734375" style="24" bestFit="1" customWidth="1"/>
    <col min="14091" max="14091" width="16.609375" style="24" bestFit="1" customWidth="1"/>
    <col min="14092" max="14092" width="16.38671875" style="24" bestFit="1" customWidth="1"/>
    <col min="14093" max="14093" width="15.609375" style="24" bestFit="1" customWidth="1"/>
    <col min="14094" max="14094" width="14.71875" style="24" bestFit="1" customWidth="1"/>
    <col min="14095" max="14095" width="16" style="24" bestFit="1" customWidth="1"/>
    <col min="14096" max="14096" width="14.71875" style="24" bestFit="1" customWidth="1"/>
    <col min="14097" max="14097" width="16" style="24" bestFit="1" customWidth="1"/>
    <col min="14098" max="14098" width="12.71875" style="24" bestFit="1" customWidth="1"/>
    <col min="14099" max="14099" width="14.71875" style="24" bestFit="1" customWidth="1"/>
    <col min="14100" max="14337" width="9.27734375" style="24"/>
    <col min="14338" max="14338" width="6.27734375" style="24" customWidth="1"/>
    <col min="14339" max="14339" width="4.38671875" style="24" customWidth="1"/>
    <col min="14340" max="14340" width="38.38671875" style="24" customWidth="1"/>
    <col min="14341" max="14342" width="0" style="24" hidden="1" customWidth="1"/>
    <col min="14343" max="14343" width="28.27734375" style="24" customWidth="1"/>
    <col min="14344" max="14344" width="19.27734375" style="24" bestFit="1" customWidth="1"/>
    <col min="14345" max="14345" width="18" style="24" bestFit="1" customWidth="1"/>
    <col min="14346" max="14346" width="16.27734375" style="24" bestFit="1" customWidth="1"/>
    <col min="14347" max="14347" width="16.609375" style="24" bestFit="1" customWidth="1"/>
    <col min="14348" max="14348" width="16.38671875" style="24" bestFit="1" customWidth="1"/>
    <col min="14349" max="14349" width="15.609375" style="24" bestFit="1" customWidth="1"/>
    <col min="14350" max="14350" width="14.71875" style="24" bestFit="1" customWidth="1"/>
    <col min="14351" max="14351" width="16" style="24" bestFit="1" customWidth="1"/>
    <col min="14352" max="14352" width="14.71875" style="24" bestFit="1" customWidth="1"/>
    <col min="14353" max="14353" width="16" style="24" bestFit="1" customWidth="1"/>
    <col min="14354" max="14354" width="12.71875" style="24" bestFit="1" customWidth="1"/>
    <col min="14355" max="14355" width="14.71875" style="24" bestFit="1" customWidth="1"/>
    <col min="14356" max="14593" width="9.27734375" style="24"/>
    <col min="14594" max="14594" width="6.27734375" style="24" customWidth="1"/>
    <col min="14595" max="14595" width="4.38671875" style="24" customWidth="1"/>
    <col min="14596" max="14596" width="38.38671875" style="24" customWidth="1"/>
    <col min="14597" max="14598" width="0" style="24" hidden="1" customWidth="1"/>
    <col min="14599" max="14599" width="28.27734375" style="24" customWidth="1"/>
    <col min="14600" max="14600" width="19.27734375" style="24" bestFit="1" customWidth="1"/>
    <col min="14601" max="14601" width="18" style="24" bestFit="1" customWidth="1"/>
    <col min="14602" max="14602" width="16.27734375" style="24" bestFit="1" customWidth="1"/>
    <col min="14603" max="14603" width="16.609375" style="24" bestFit="1" customWidth="1"/>
    <col min="14604" max="14604" width="16.38671875" style="24" bestFit="1" customWidth="1"/>
    <col min="14605" max="14605" width="15.609375" style="24" bestFit="1" customWidth="1"/>
    <col min="14606" max="14606" width="14.71875" style="24" bestFit="1" customWidth="1"/>
    <col min="14607" max="14607" width="16" style="24" bestFit="1" customWidth="1"/>
    <col min="14608" max="14608" width="14.71875" style="24" bestFit="1" customWidth="1"/>
    <col min="14609" max="14609" width="16" style="24" bestFit="1" customWidth="1"/>
    <col min="14610" max="14610" width="12.71875" style="24" bestFit="1" customWidth="1"/>
    <col min="14611" max="14611" width="14.71875" style="24" bestFit="1" customWidth="1"/>
    <col min="14612" max="14849" width="9.27734375" style="24"/>
    <col min="14850" max="14850" width="6.27734375" style="24" customWidth="1"/>
    <col min="14851" max="14851" width="4.38671875" style="24" customWidth="1"/>
    <col min="14852" max="14852" width="38.38671875" style="24" customWidth="1"/>
    <col min="14853" max="14854" width="0" style="24" hidden="1" customWidth="1"/>
    <col min="14855" max="14855" width="28.27734375" style="24" customWidth="1"/>
    <col min="14856" max="14856" width="19.27734375" style="24" bestFit="1" customWidth="1"/>
    <col min="14857" max="14857" width="18" style="24" bestFit="1" customWidth="1"/>
    <col min="14858" max="14858" width="16.27734375" style="24" bestFit="1" customWidth="1"/>
    <col min="14859" max="14859" width="16.609375" style="24" bestFit="1" customWidth="1"/>
    <col min="14860" max="14860" width="16.38671875" style="24" bestFit="1" customWidth="1"/>
    <col min="14861" max="14861" width="15.609375" style="24" bestFit="1" customWidth="1"/>
    <col min="14862" max="14862" width="14.71875" style="24" bestFit="1" customWidth="1"/>
    <col min="14863" max="14863" width="16" style="24" bestFit="1" customWidth="1"/>
    <col min="14864" max="14864" width="14.71875" style="24" bestFit="1" customWidth="1"/>
    <col min="14865" max="14865" width="16" style="24" bestFit="1" customWidth="1"/>
    <col min="14866" max="14866" width="12.71875" style="24" bestFit="1" customWidth="1"/>
    <col min="14867" max="14867" width="14.71875" style="24" bestFit="1" customWidth="1"/>
    <col min="14868" max="15105" width="9.27734375" style="24"/>
    <col min="15106" max="15106" width="6.27734375" style="24" customWidth="1"/>
    <col min="15107" max="15107" width="4.38671875" style="24" customWidth="1"/>
    <col min="15108" max="15108" width="38.38671875" style="24" customWidth="1"/>
    <col min="15109" max="15110" width="0" style="24" hidden="1" customWidth="1"/>
    <col min="15111" max="15111" width="28.27734375" style="24" customWidth="1"/>
    <col min="15112" max="15112" width="19.27734375" style="24" bestFit="1" customWidth="1"/>
    <col min="15113" max="15113" width="18" style="24" bestFit="1" customWidth="1"/>
    <col min="15114" max="15114" width="16.27734375" style="24" bestFit="1" customWidth="1"/>
    <col min="15115" max="15115" width="16.609375" style="24" bestFit="1" customWidth="1"/>
    <col min="15116" max="15116" width="16.38671875" style="24" bestFit="1" customWidth="1"/>
    <col min="15117" max="15117" width="15.609375" style="24" bestFit="1" customWidth="1"/>
    <col min="15118" max="15118" width="14.71875" style="24" bestFit="1" customWidth="1"/>
    <col min="15119" max="15119" width="16" style="24" bestFit="1" customWidth="1"/>
    <col min="15120" max="15120" width="14.71875" style="24" bestFit="1" customWidth="1"/>
    <col min="15121" max="15121" width="16" style="24" bestFit="1" customWidth="1"/>
    <col min="15122" max="15122" width="12.71875" style="24" bestFit="1" customWidth="1"/>
    <col min="15123" max="15123" width="14.71875" style="24" bestFit="1" customWidth="1"/>
    <col min="15124" max="15361" width="9.27734375" style="24"/>
    <col min="15362" max="15362" width="6.27734375" style="24" customWidth="1"/>
    <col min="15363" max="15363" width="4.38671875" style="24" customWidth="1"/>
    <col min="15364" max="15364" width="38.38671875" style="24" customWidth="1"/>
    <col min="15365" max="15366" width="0" style="24" hidden="1" customWidth="1"/>
    <col min="15367" max="15367" width="28.27734375" style="24" customWidth="1"/>
    <col min="15368" max="15368" width="19.27734375" style="24" bestFit="1" customWidth="1"/>
    <col min="15369" max="15369" width="18" style="24" bestFit="1" customWidth="1"/>
    <col min="15370" max="15370" width="16.27734375" style="24" bestFit="1" customWidth="1"/>
    <col min="15371" max="15371" width="16.609375" style="24" bestFit="1" customWidth="1"/>
    <col min="15372" max="15372" width="16.38671875" style="24" bestFit="1" customWidth="1"/>
    <col min="15373" max="15373" width="15.609375" style="24" bestFit="1" customWidth="1"/>
    <col min="15374" max="15374" width="14.71875" style="24" bestFit="1" customWidth="1"/>
    <col min="15375" max="15375" width="16" style="24" bestFit="1" customWidth="1"/>
    <col min="15376" max="15376" width="14.71875" style="24" bestFit="1" customWidth="1"/>
    <col min="15377" max="15377" width="16" style="24" bestFit="1" customWidth="1"/>
    <col min="15378" max="15378" width="12.71875" style="24" bestFit="1" customWidth="1"/>
    <col min="15379" max="15379" width="14.71875" style="24" bestFit="1" customWidth="1"/>
    <col min="15380" max="15617" width="9.27734375" style="24"/>
    <col min="15618" max="15618" width="6.27734375" style="24" customWidth="1"/>
    <col min="15619" max="15619" width="4.38671875" style="24" customWidth="1"/>
    <col min="15620" max="15620" width="38.38671875" style="24" customWidth="1"/>
    <col min="15621" max="15622" width="0" style="24" hidden="1" customWidth="1"/>
    <col min="15623" max="15623" width="28.27734375" style="24" customWidth="1"/>
    <col min="15624" max="15624" width="19.27734375" style="24" bestFit="1" customWidth="1"/>
    <col min="15625" max="15625" width="18" style="24" bestFit="1" customWidth="1"/>
    <col min="15626" max="15626" width="16.27734375" style="24" bestFit="1" customWidth="1"/>
    <col min="15627" max="15627" width="16.609375" style="24" bestFit="1" customWidth="1"/>
    <col min="15628" max="15628" width="16.38671875" style="24" bestFit="1" customWidth="1"/>
    <col min="15629" max="15629" width="15.609375" style="24" bestFit="1" customWidth="1"/>
    <col min="15630" max="15630" width="14.71875" style="24" bestFit="1" customWidth="1"/>
    <col min="15631" max="15631" width="16" style="24" bestFit="1" customWidth="1"/>
    <col min="15632" max="15632" width="14.71875" style="24" bestFit="1" customWidth="1"/>
    <col min="15633" max="15633" width="16" style="24" bestFit="1" customWidth="1"/>
    <col min="15634" max="15634" width="12.71875" style="24" bestFit="1" customWidth="1"/>
    <col min="15635" max="15635" width="14.71875" style="24" bestFit="1" customWidth="1"/>
    <col min="15636" max="15873" width="9.27734375" style="24"/>
    <col min="15874" max="15874" width="6.27734375" style="24" customWidth="1"/>
    <col min="15875" max="15875" width="4.38671875" style="24" customWidth="1"/>
    <col min="15876" max="15876" width="38.38671875" style="24" customWidth="1"/>
    <col min="15877" max="15878" width="0" style="24" hidden="1" customWidth="1"/>
    <col min="15879" max="15879" width="28.27734375" style="24" customWidth="1"/>
    <col min="15880" max="15880" width="19.27734375" style="24" bestFit="1" customWidth="1"/>
    <col min="15881" max="15881" width="18" style="24" bestFit="1" customWidth="1"/>
    <col min="15882" max="15882" width="16.27734375" style="24" bestFit="1" customWidth="1"/>
    <col min="15883" max="15883" width="16.609375" style="24" bestFit="1" customWidth="1"/>
    <col min="15884" max="15884" width="16.38671875" style="24" bestFit="1" customWidth="1"/>
    <col min="15885" max="15885" width="15.609375" style="24" bestFit="1" customWidth="1"/>
    <col min="15886" max="15886" width="14.71875" style="24" bestFit="1" customWidth="1"/>
    <col min="15887" max="15887" width="16" style="24" bestFit="1" customWidth="1"/>
    <col min="15888" max="15888" width="14.71875" style="24" bestFit="1" customWidth="1"/>
    <col min="15889" max="15889" width="16" style="24" bestFit="1" customWidth="1"/>
    <col min="15890" max="15890" width="12.71875" style="24" bestFit="1" customWidth="1"/>
    <col min="15891" max="15891" width="14.71875" style="24" bestFit="1" customWidth="1"/>
    <col min="15892" max="16129" width="9.27734375" style="24"/>
    <col min="16130" max="16130" width="6.27734375" style="24" customWidth="1"/>
    <col min="16131" max="16131" width="4.38671875" style="24" customWidth="1"/>
    <col min="16132" max="16132" width="38.38671875" style="24" customWidth="1"/>
    <col min="16133" max="16134" width="0" style="24" hidden="1" customWidth="1"/>
    <col min="16135" max="16135" width="28.27734375" style="24" customWidth="1"/>
    <col min="16136" max="16136" width="19.27734375" style="24" bestFit="1" customWidth="1"/>
    <col min="16137" max="16137" width="18" style="24" bestFit="1" customWidth="1"/>
    <col min="16138" max="16138" width="16.27734375" style="24" bestFit="1" customWidth="1"/>
    <col min="16139" max="16139" width="16.609375" style="24" bestFit="1" customWidth="1"/>
    <col min="16140" max="16140" width="16.38671875" style="24" bestFit="1" customWidth="1"/>
    <col min="16141" max="16141" width="15.609375" style="24" bestFit="1" customWidth="1"/>
    <col min="16142" max="16142" width="14.71875" style="24" bestFit="1" customWidth="1"/>
    <col min="16143" max="16143" width="16" style="24" bestFit="1" customWidth="1"/>
    <col min="16144" max="16144" width="14.71875" style="24" bestFit="1" customWidth="1"/>
    <col min="16145" max="16145" width="16" style="24" bestFit="1" customWidth="1"/>
    <col min="16146" max="16146" width="12.71875" style="24" bestFit="1" customWidth="1"/>
    <col min="16147" max="16147" width="14.71875" style="24" bestFit="1" customWidth="1"/>
    <col min="16148" max="16384" width="9.27734375" style="24"/>
  </cols>
  <sheetData>
    <row r="1" spans="1:15" ht="20.100000000000001" x14ac:dyDescent="0.7">
      <c r="A1" s="622" t="s">
        <v>857</v>
      </c>
      <c r="B1" s="622"/>
      <c r="C1" s="622"/>
      <c r="D1" s="622"/>
      <c r="E1" s="622"/>
      <c r="F1" s="622"/>
      <c r="G1" s="622"/>
      <c r="H1" s="622"/>
      <c r="I1" s="622"/>
      <c r="J1" s="622"/>
      <c r="K1" s="622"/>
      <c r="L1" s="622"/>
      <c r="M1" s="622"/>
    </row>
    <row r="3" spans="1:15" x14ac:dyDescent="0.4">
      <c r="J3" s="192"/>
    </row>
    <row r="4" spans="1:15" ht="36.9" x14ac:dyDescent="0.4">
      <c r="A4" s="25"/>
      <c r="B4" s="26" t="s">
        <v>181</v>
      </c>
      <c r="C4" s="27"/>
      <c r="D4" s="28"/>
      <c r="E4" s="25"/>
      <c r="F4" s="25"/>
      <c r="G4" s="29" t="s">
        <v>9</v>
      </c>
      <c r="H4" s="29" t="s">
        <v>37</v>
      </c>
      <c r="I4" s="29" t="s">
        <v>29</v>
      </c>
      <c r="J4" s="29" t="s">
        <v>30</v>
      </c>
      <c r="K4" s="29" t="s">
        <v>212</v>
      </c>
      <c r="L4" s="30" t="s">
        <v>346</v>
      </c>
      <c r="M4" s="29" t="s">
        <v>347</v>
      </c>
    </row>
    <row r="5" spans="1:15" x14ac:dyDescent="0.4">
      <c r="A5" s="31" t="s">
        <v>184</v>
      </c>
      <c r="C5" s="31" t="s">
        <v>182</v>
      </c>
      <c r="L5" s="32"/>
    </row>
    <row r="6" spans="1:15" x14ac:dyDescent="0.4">
      <c r="A6" s="31" t="s">
        <v>185</v>
      </c>
      <c r="C6" s="24" t="s">
        <v>183</v>
      </c>
      <c r="G6" s="195">
        <f>SUM('#1-Meritus:#5034-Mt Washington Pediatric'!F18:F18)</f>
        <v>0</v>
      </c>
      <c r="H6" s="195">
        <f>SUM('#1-Meritus:#5034-Mt Washington Pediatric'!G18:G18)</f>
        <v>0</v>
      </c>
      <c r="I6" s="195">
        <f>SUM('#1-Meritus:#5034-Mt Washington Pediatric'!H18:H18)</f>
        <v>329824999.99000019</v>
      </c>
      <c r="J6" s="195">
        <f>SUM('#1-Meritus:#5034-Mt Washington Pediatric'!I18:I18)</f>
        <v>0</v>
      </c>
      <c r="K6" s="195">
        <f>SUM('#1-Meritus:#5034-Mt Washington Pediatric'!J18:J18)</f>
        <v>273349115.98000008</v>
      </c>
      <c r="L6" s="195">
        <f>SUM('#1-Meritus:#5034-Mt Washington Pediatric'!K18:K18)</f>
        <v>56475884.009999998</v>
      </c>
      <c r="M6" s="64">
        <f>L6-J6</f>
        <v>56475884.009999998</v>
      </c>
      <c r="N6" s="32"/>
      <c r="O6" s="32"/>
    </row>
    <row r="7" spans="1:15" ht="36.9" x14ac:dyDescent="0.4">
      <c r="A7" s="25" t="s">
        <v>8</v>
      </c>
      <c r="B7" s="25"/>
      <c r="C7" s="28"/>
      <c r="D7" s="28"/>
      <c r="E7" s="28"/>
      <c r="F7" s="28"/>
      <c r="G7" s="29" t="s">
        <v>9</v>
      </c>
      <c r="H7" s="29" t="s">
        <v>37</v>
      </c>
      <c r="I7" s="29" t="s">
        <v>348</v>
      </c>
      <c r="J7" s="29" t="s">
        <v>349</v>
      </c>
      <c r="K7" s="30" t="s">
        <v>212</v>
      </c>
      <c r="L7" s="34" t="s">
        <v>346</v>
      </c>
      <c r="M7" s="29" t="s">
        <v>347</v>
      </c>
      <c r="N7" s="32"/>
      <c r="O7" s="32"/>
    </row>
    <row r="8" spans="1:15" x14ac:dyDescent="0.4">
      <c r="A8" s="26" t="s">
        <v>74</v>
      </c>
      <c r="B8" s="31" t="s">
        <v>41</v>
      </c>
      <c r="K8" s="35"/>
      <c r="L8" s="36"/>
      <c r="N8" s="32"/>
      <c r="O8" s="32"/>
    </row>
    <row r="9" spans="1:15" x14ac:dyDescent="0.4">
      <c r="A9" s="37" t="s">
        <v>75</v>
      </c>
      <c r="B9" s="24" t="s">
        <v>42</v>
      </c>
      <c r="G9" s="194">
        <f>SUM('#1-Meritus:#5034-Mt Washington Pediatric'!F21:F21)</f>
        <v>262440.66682314547</v>
      </c>
      <c r="H9" s="194">
        <f>SUM('#1-Meritus:#5034-Mt Washington Pediatric'!G21:G21)</f>
        <v>3364056.6755580562</v>
      </c>
      <c r="I9" s="194">
        <f>SUM('#1-Meritus:#5034-Mt Washington Pediatric'!H21:H21)</f>
        <v>15467366.62296154</v>
      </c>
      <c r="J9" s="194">
        <f>SUM('#1-Meritus:#5034-Mt Washington Pediatric'!I21:I21)</f>
        <v>8630184.7243475653</v>
      </c>
      <c r="K9" s="194">
        <f>SUM('#1-Meritus:#5034-Mt Washington Pediatric'!J21:J21)</f>
        <v>1427171.28384565</v>
      </c>
      <c r="L9" s="194">
        <f>SUM('#1-Meritus:#5034-Mt Washington Pediatric'!K21:K21)</f>
        <v>22670380.063463461</v>
      </c>
      <c r="M9" s="64">
        <f>L9-J9</f>
        <v>14040195.339115895</v>
      </c>
      <c r="N9" s="32"/>
      <c r="O9" s="32"/>
    </row>
    <row r="10" spans="1:15" x14ac:dyDescent="0.4">
      <c r="A10" s="37" t="s">
        <v>76</v>
      </c>
      <c r="B10" s="24" t="s">
        <v>6</v>
      </c>
      <c r="G10" s="194">
        <f>SUM('#1-Meritus:#5034-Mt Washington Pediatric'!F22:F22)</f>
        <v>13856.435524999999</v>
      </c>
      <c r="H10" s="194">
        <f>SUM('#1-Meritus:#5034-Mt Washington Pediatric'!G22:G22)</f>
        <v>23684</v>
      </c>
      <c r="I10" s="194">
        <f>SUM('#1-Meritus:#5034-Mt Washington Pediatric'!H22:H22)</f>
        <v>2337396.3409249946</v>
      </c>
      <c r="J10" s="194">
        <f>SUM('#1-Meritus:#5034-Mt Washington Pediatric'!I22:I22)</f>
        <v>1641441.7683143658</v>
      </c>
      <c r="K10" s="194">
        <f>SUM('#1-Meritus:#5034-Mt Washington Pediatric'!J22:J22)</f>
        <v>31918.883999999998</v>
      </c>
      <c r="L10" s="194">
        <f>SUM('#1-Meritus:#5034-Mt Washington Pediatric'!K22:K22)</f>
        <v>3946919.2252393593</v>
      </c>
      <c r="M10" s="64">
        <f t="shared" ref="M10:M22" si="0">L10-J10</f>
        <v>2305477.4569249935</v>
      </c>
      <c r="N10" s="32"/>
      <c r="O10" s="32"/>
    </row>
    <row r="11" spans="1:15" x14ac:dyDescent="0.4">
      <c r="A11" s="37" t="s">
        <v>77</v>
      </c>
      <c r="B11" s="24" t="s">
        <v>43</v>
      </c>
      <c r="G11" s="194">
        <f>SUM('#1-Meritus:#5034-Mt Washington Pediatric'!F23:F23)</f>
        <v>13020.8</v>
      </c>
      <c r="H11" s="194">
        <f>SUM('#1-Meritus:#5034-Mt Washington Pediatric'!G23:G23)</f>
        <v>74871</v>
      </c>
      <c r="I11" s="194">
        <f>SUM('#1-Meritus:#5034-Mt Washington Pediatric'!H23:H23)</f>
        <v>664094.99202055123</v>
      </c>
      <c r="J11" s="194">
        <f>SUM('#1-Meritus:#5034-Mt Washington Pediatric'!I23:I23)</f>
        <v>380052.03938218841</v>
      </c>
      <c r="K11" s="194">
        <f>SUM('#1-Meritus:#5034-Mt Washington Pediatric'!J23:J23)</f>
        <v>162000</v>
      </c>
      <c r="L11" s="194">
        <f>SUM('#1-Meritus:#5034-Mt Washington Pediatric'!K23:K23)</f>
        <v>882147.03140273958</v>
      </c>
      <c r="M11" s="64">
        <f t="shared" si="0"/>
        <v>502094.99202055117</v>
      </c>
      <c r="N11" s="32"/>
      <c r="O11" s="32"/>
    </row>
    <row r="12" spans="1:15" x14ac:dyDescent="0.4">
      <c r="A12" s="37" t="s">
        <v>78</v>
      </c>
      <c r="B12" s="24" t="s">
        <v>44</v>
      </c>
      <c r="G12" s="194">
        <f>SUM('#1-Meritus:#5034-Mt Washington Pediatric'!F24:F24)</f>
        <v>117778.31814289179</v>
      </c>
      <c r="H12" s="194">
        <f>SUM('#1-Meritus:#5034-Mt Washington Pediatric'!G24:G24)</f>
        <v>100541.7794622386</v>
      </c>
      <c r="I12" s="194">
        <f>SUM('#1-Meritus:#5034-Mt Washington Pediatric'!H24:H24)</f>
        <v>8798167.8149999995</v>
      </c>
      <c r="J12" s="194">
        <f>SUM('#1-Meritus:#5034-Mt Washington Pediatric'!I24:I24)</f>
        <v>5526512.5710687162</v>
      </c>
      <c r="K12" s="194">
        <f>SUM('#1-Meritus:#5034-Mt Washington Pediatric'!J24:J24)</f>
        <v>3388250</v>
      </c>
      <c r="L12" s="194">
        <f>SUM('#1-Meritus:#5034-Mt Washington Pediatric'!K24:K24)</f>
        <v>10936430.386068717</v>
      </c>
      <c r="M12" s="64">
        <f t="shared" si="0"/>
        <v>5409917.8150000004</v>
      </c>
      <c r="N12" s="32"/>
      <c r="O12" s="32"/>
    </row>
    <row r="13" spans="1:15" x14ac:dyDescent="0.4">
      <c r="A13" s="37" t="s">
        <v>79</v>
      </c>
      <c r="B13" s="24" t="s">
        <v>5</v>
      </c>
      <c r="G13" s="194">
        <f>SUM('#1-Meritus:#5034-Mt Washington Pediatric'!F25:F25)</f>
        <v>36123.949999999997</v>
      </c>
      <c r="H13" s="194">
        <f>SUM('#1-Meritus:#5034-Mt Washington Pediatric'!G25:G25)</f>
        <v>215310</v>
      </c>
      <c r="I13" s="194">
        <f>SUM('#1-Meritus:#5034-Mt Washington Pediatric'!H25:H25)</f>
        <v>2170371.5883624419</v>
      </c>
      <c r="J13" s="194">
        <f>SUM('#1-Meritus:#5034-Mt Washington Pediatric'!I25:I25)</f>
        <v>1471826.2653996665</v>
      </c>
      <c r="K13" s="194">
        <f>SUM('#1-Meritus:#5034-Mt Washington Pediatric'!J25:J25)</f>
        <v>709976</v>
      </c>
      <c r="L13" s="194">
        <f>SUM('#1-Meritus:#5034-Mt Washington Pediatric'!K25:K25)</f>
        <v>2932221.8537621088</v>
      </c>
      <c r="M13" s="64">
        <f t="shared" si="0"/>
        <v>1460395.5883624423</v>
      </c>
      <c r="N13" s="32"/>
      <c r="O13" s="32"/>
    </row>
    <row r="14" spans="1:15" x14ac:dyDescent="0.4">
      <c r="A14" s="37" t="s">
        <v>80</v>
      </c>
      <c r="B14" s="24" t="s">
        <v>45</v>
      </c>
      <c r="G14" s="194">
        <f>SUM('#1-Meritus:#5034-Mt Washington Pediatric'!F26:F26)</f>
        <v>1040</v>
      </c>
      <c r="H14" s="194">
        <f>SUM('#1-Meritus:#5034-Mt Washington Pediatric'!G26:G26)</f>
        <v>3978</v>
      </c>
      <c r="I14" s="194">
        <f>SUM('#1-Meritus:#5034-Mt Washington Pediatric'!H26:H26)</f>
        <v>124701.21</v>
      </c>
      <c r="J14" s="194">
        <f>SUM('#1-Meritus:#5034-Mt Washington Pediatric'!I26:I26)</f>
        <v>62760.209000000003</v>
      </c>
      <c r="K14" s="194">
        <f>SUM('#1-Meritus:#5034-Mt Washington Pediatric'!J26:J26)</f>
        <v>556</v>
      </c>
      <c r="L14" s="194">
        <f>SUM('#1-Meritus:#5034-Mt Washington Pediatric'!K26:K26)</f>
        <v>186905.41899999999</v>
      </c>
      <c r="M14" s="64">
        <f t="shared" si="0"/>
        <v>124145.20999999999</v>
      </c>
      <c r="N14" s="32"/>
      <c r="O14" s="32"/>
    </row>
    <row r="15" spans="1:15" x14ac:dyDescent="0.4">
      <c r="A15" s="37" t="s">
        <v>81</v>
      </c>
      <c r="B15" s="24" t="s">
        <v>46</v>
      </c>
      <c r="G15" s="194">
        <f>SUM('#1-Meritus:#5034-Mt Washington Pediatric'!F27:F27)</f>
        <v>15828.5</v>
      </c>
      <c r="H15" s="194">
        <f>SUM('#1-Meritus:#5034-Mt Washington Pediatric'!G27:G27)</f>
        <v>32449</v>
      </c>
      <c r="I15" s="194">
        <f>SUM('#1-Meritus:#5034-Mt Washington Pediatric'!H27:H27)</f>
        <v>6675902.2999999998</v>
      </c>
      <c r="J15" s="194">
        <f>SUM('#1-Meritus:#5034-Mt Washington Pediatric'!I27:I27)</f>
        <v>3282318.9764906005</v>
      </c>
      <c r="K15" s="194">
        <f>SUM('#1-Meritus:#5034-Mt Washington Pediatric'!J27:J27)</f>
        <v>13859</v>
      </c>
      <c r="L15" s="194">
        <f>SUM('#1-Meritus:#5034-Mt Washington Pediatric'!K27:K27)</f>
        <v>9944362.2764905989</v>
      </c>
      <c r="M15" s="64">
        <f t="shared" si="0"/>
        <v>6662043.2999999989</v>
      </c>
      <c r="N15" s="32"/>
      <c r="O15" s="32"/>
    </row>
    <row r="16" spans="1:15" x14ac:dyDescent="0.4">
      <c r="A16" s="37" t="s">
        <v>82</v>
      </c>
      <c r="B16" s="24" t="s">
        <v>47</v>
      </c>
      <c r="G16" s="194">
        <f>SUM('#1-Meritus:#5034-Mt Washington Pediatric'!F28:F28)</f>
        <v>33855.300000000003</v>
      </c>
      <c r="H16" s="194">
        <f>SUM('#1-Meritus:#5034-Mt Washington Pediatric'!G28:G28)</f>
        <v>13884</v>
      </c>
      <c r="I16" s="194">
        <f>SUM('#1-Meritus:#5034-Mt Washington Pediatric'!H28:H28)</f>
        <v>1649694.5</v>
      </c>
      <c r="J16" s="194">
        <f>SUM('#1-Meritus:#5034-Mt Washington Pediatric'!I28:I28)</f>
        <v>816513.07489816798</v>
      </c>
      <c r="K16" s="194">
        <f>SUM('#1-Meritus:#5034-Mt Washington Pediatric'!J28:J28)</f>
        <v>1719262</v>
      </c>
      <c r="L16" s="194">
        <f>SUM('#1-Meritus:#5034-Mt Washington Pediatric'!K28:K28)</f>
        <v>746945.57489816775</v>
      </c>
      <c r="M16" s="64">
        <f t="shared" si="0"/>
        <v>-69567.500000000233</v>
      </c>
      <c r="N16" s="32"/>
      <c r="O16" s="32"/>
    </row>
    <row r="17" spans="1:15" x14ac:dyDescent="0.4">
      <c r="A17" s="37" t="s">
        <v>83</v>
      </c>
      <c r="B17" s="24" t="s">
        <v>48</v>
      </c>
      <c r="G17" s="194">
        <f>SUM('#1-Meritus:#5034-Mt Washington Pediatric'!F29:F29)</f>
        <v>367620.9722518475</v>
      </c>
      <c r="H17" s="194">
        <f>SUM('#1-Meritus:#5034-Mt Washington Pediatric'!G29:G29)</f>
        <v>434912.64990202087</v>
      </c>
      <c r="I17" s="194">
        <f>SUM('#1-Meritus:#5034-Mt Washington Pediatric'!H29:H29)</f>
        <v>48321471.571728215</v>
      </c>
      <c r="J17" s="194">
        <f>SUM('#1-Meritus:#5034-Mt Washington Pediatric'!I29:I29)</f>
        <v>21701488.609791715</v>
      </c>
      <c r="K17" s="194">
        <f>SUM('#1-Meritus:#5034-Mt Washington Pediatric'!J29:J29)</f>
        <v>4704749</v>
      </c>
      <c r="L17" s="194">
        <f>SUM('#1-Meritus:#5034-Mt Washington Pediatric'!K29:K29)</f>
        <v>65318211.181519933</v>
      </c>
      <c r="M17" s="64">
        <f t="shared" si="0"/>
        <v>43616722.571728215</v>
      </c>
      <c r="N17" s="32"/>
      <c r="O17" s="32"/>
    </row>
    <row r="18" spans="1:15" x14ac:dyDescent="0.4">
      <c r="A18" s="1" t="s">
        <v>84</v>
      </c>
      <c r="B18" s="623" t="s">
        <v>229</v>
      </c>
      <c r="C18" s="624"/>
      <c r="D18" s="625"/>
      <c r="E18"/>
      <c r="F18" s="66"/>
      <c r="G18" s="194">
        <f>SUM('#1-Meritus:#5034-Mt Washington Pediatric'!F30:F30)</f>
        <v>38370.699999999997</v>
      </c>
      <c r="H18" s="194">
        <f>SUM('#1-Meritus:#5034-Mt Washington Pediatric'!G30:G30)</f>
        <v>167376</v>
      </c>
      <c r="I18" s="194">
        <f>SUM('#1-Meritus:#5034-Mt Washington Pediatric'!H30:H30)</f>
        <v>5259360.3099499997</v>
      </c>
      <c r="J18" s="194">
        <f>SUM('#1-Meritus:#5034-Mt Washington Pediatric'!I30:I30)</f>
        <v>2819363.6887645624</v>
      </c>
      <c r="K18" s="194">
        <f>SUM('#1-Meritus:#5034-Mt Washington Pediatric'!J30:J30)</f>
        <v>183026</v>
      </c>
      <c r="L18" s="194">
        <f>SUM('#1-Meritus:#5034-Mt Washington Pediatric'!K30:K30)</f>
        <v>7895697.9987145616</v>
      </c>
      <c r="M18" s="64">
        <f t="shared" si="0"/>
        <v>5076334.3099499997</v>
      </c>
      <c r="N18" s="32"/>
      <c r="O18" s="32"/>
    </row>
    <row r="19" spans="1:15" x14ac:dyDescent="0.4">
      <c r="A19" s="1" t="s">
        <v>133</v>
      </c>
      <c r="B19" s="623" t="s">
        <v>229</v>
      </c>
      <c r="C19" s="624"/>
      <c r="D19" s="625"/>
      <c r="E19"/>
      <c r="F19" s="66"/>
      <c r="G19" s="194">
        <f>SUM('#1-Meritus:#5034-Mt Washington Pediatric'!F31:F31)</f>
        <v>9481</v>
      </c>
      <c r="H19" s="194">
        <f>SUM('#1-Meritus:#5034-Mt Washington Pediatric'!G31:G31)</f>
        <v>15892</v>
      </c>
      <c r="I19" s="194">
        <f>SUM('#1-Meritus:#5034-Mt Washington Pediatric'!H31:H31)</f>
        <v>618055.24501295621</v>
      </c>
      <c r="J19" s="194">
        <f>SUM('#1-Meritus:#5034-Mt Washington Pediatric'!I31:I31)</f>
        <v>204102.51914991176</v>
      </c>
      <c r="K19" s="194">
        <f>SUM('#1-Meritus:#5034-Mt Washington Pediatric'!J31:J31)</f>
        <v>17907</v>
      </c>
      <c r="L19" s="194">
        <f>SUM('#1-Meritus:#5034-Mt Washington Pediatric'!K31:K31)</f>
        <v>804250.76416286803</v>
      </c>
      <c r="M19" s="64">
        <f t="shared" si="0"/>
        <v>600148.24501295621</v>
      </c>
      <c r="N19" s="32"/>
      <c r="O19" s="32"/>
    </row>
    <row r="20" spans="1:15" x14ac:dyDescent="0.4">
      <c r="A20" s="1" t="s">
        <v>134</v>
      </c>
      <c r="B20" s="21" t="s">
        <v>229</v>
      </c>
      <c r="C20" s="22"/>
      <c r="D20" s="23"/>
      <c r="E20"/>
      <c r="F20" s="66"/>
      <c r="G20" s="194">
        <f>SUM('#1-Meritus:#5034-Mt Washington Pediatric'!F32:F32)</f>
        <v>22213.479180000002</v>
      </c>
      <c r="H20" s="194">
        <f>SUM('#1-Meritus:#5034-Mt Washington Pediatric'!G32:G32)</f>
        <v>5016</v>
      </c>
      <c r="I20" s="194">
        <f>SUM('#1-Meritus:#5034-Mt Washington Pediatric'!H32:H32)</f>
        <v>4912679.1450133044</v>
      </c>
      <c r="J20" s="194">
        <f>SUM('#1-Meritus:#5034-Mt Washington Pediatric'!I32:I32)</f>
        <v>580411.00466447603</v>
      </c>
      <c r="K20" s="194">
        <f>SUM('#1-Meritus:#5034-Mt Washington Pediatric'!J32:J32)</f>
        <v>3216255.8264342435</v>
      </c>
      <c r="L20" s="194">
        <f>SUM('#1-Meritus:#5034-Mt Washington Pediatric'!K32:K32)</f>
        <v>2276834.3232435375</v>
      </c>
      <c r="M20" s="64">
        <f t="shared" si="0"/>
        <v>1696423.3185790614</v>
      </c>
      <c r="N20" s="32"/>
      <c r="O20" s="32"/>
    </row>
    <row r="21" spans="1:15" x14ac:dyDescent="0.4">
      <c r="A21" s="1" t="s">
        <v>135</v>
      </c>
      <c r="B21" s="21" t="s">
        <v>229</v>
      </c>
      <c r="C21" s="22"/>
      <c r="D21" s="23"/>
      <c r="E21"/>
      <c r="F21" s="66"/>
      <c r="G21" s="194">
        <f>SUM('#1-Meritus:#5034-Mt Washington Pediatric'!F33:F33)</f>
        <v>2813</v>
      </c>
      <c r="H21" s="194">
        <f>SUM('#1-Meritus:#5034-Mt Washington Pediatric'!G33:G33)</f>
        <v>1705</v>
      </c>
      <c r="I21" s="194">
        <f>SUM('#1-Meritus:#5034-Mt Washington Pediatric'!H33:H33)</f>
        <v>120597.75</v>
      </c>
      <c r="J21" s="194">
        <f>SUM('#1-Meritus:#5034-Mt Washington Pediatric'!I33:I33)</f>
        <v>63874.121849999996</v>
      </c>
      <c r="K21" s="194">
        <f>SUM('#1-Meritus:#5034-Mt Washington Pediatric'!J33:J33)</f>
        <v>0</v>
      </c>
      <c r="L21" s="194">
        <f>SUM('#1-Meritus:#5034-Mt Washington Pediatric'!K33:K33)</f>
        <v>184471.87185</v>
      </c>
      <c r="M21" s="64">
        <f t="shared" si="0"/>
        <v>120597.75</v>
      </c>
      <c r="N21" s="32"/>
      <c r="O21" s="32"/>
    </row>
    <row r="22" spans="1:15" x14ac:dyDescent="0.4">
      <c r="A22" s="1" t="s">
        <v>136</v>
      </c>
      <c r="B22" s="623" t="s">
        <v>229</v>
      </c>
      <c r="C22" s="624"/>
      <c r="D22" s="625"/>
      <c r="E22"/>
      <c r="F22" s="66"/>
      <c r="G22" s="194">
        <f>SUM('#1-Meritus:#5034-Mt Washington Pediatric'!F34:F34)</f>
        <v>0</v>
      </c>
      <c r="H22" s="194">
        <f>SUM('#1-Meritus:#5034-Mt Washington Pediatric'!G34:G34)</f>
        <v>0</v>
      </c>
      <c r="I22" s="194">
        <f>SUM('#1-Meritus:#5034-Mt Washington Pediatric'!H34:H34)</f>
        <v>0</v>
      </c>
      <c r="J22" s="194">
        <f>SUM('#1-Meritus:#5034-Mt Washington Pediatric'!I34:I34)</f>
        <v>0</v>
      </c>
      <c r="K22" s="194">
        <f>SUM('#1-Meritus:#5034-Mt Washington Pediatric'!J34:J34)</f>
        <v>0</v>
      </c>
      <c r="L22" s="194">
        <f>SUM('#1-Meritus:#5034-Mt Washington Pediatric'!K34:K34)</f>
        <v>0</v>
      </c>
      <c r="M22" s="64">
        <f t="shared" si="0"/>
        <v>0</v>
      </c>
      <c r="N22" s="32"/>
      <c r="O22" s="32"/>
    </row>
    <row r="23" spans="1:15" x14ac:dyDescent="0.4">
      <c r="D23" s="31"/>
      <c r="E23" s="31"/>
      <c r="F23" s="31"/>
      <c r="G23" s="38"/>
      <c r="H23" s="38"/>
      <c r="I23" s="38"/>
      <c r="J23" s="38"/>
      <c r="K23" s="38"/>
      <c r="L23" s="38"/>
      <c r="M23" s="39"/>
      <c r="N23" s="32"/>
      <c r="O23" s="32"/>
    </row>
    <row r="24" spans="1:15" x14ac:dyDescent="0.4">
      <c r="A24" s="26" t="s">
        <v>137</v>
      </c>
      <c r="B24" s="31" t="s">
        <v>138</v>
      </c>
      <c r="G24" s="33">
        <f t="shared" ref="G24:L24" si="1">SUM(G9:G22)</f>
        <v>934443.12192288472</v>
      </c>
      <c r="H24" s="33">
        <f t="shared" si="1"/>
        <v>4453676.104922316</v>
      </c>
      <c r="I24" s="64">
        <f t="shared" si="1"/>
        <v>97119859.390973985</v>
      </c>
      <c r="J24" s="64">
        <f t="shared" si="1"/>
        <v>47180849.573121935</v>
      </c>
      <c r="K24" s="64">
        <f t="shared" si="1"/>
        <v>15574930.994279893</v>
      </c>
      <c r="L24" s="64">
        <f t="shared" si="1"/>
        <v>128725777.96981606</v>
      </c>
      <c r="M24" s="64">
        <f>L24-J24</f>
        <v>81544928.396694124</v>
      </c>
      <c r="N24" s="32"/>
      <c r="O24" s="32"/>
    </row>
    <row r="25" spans="1:15" x14ac:dyDescent="0.4">
      <c r="A25" s="26"/>
      <c r="B25" s="31"/>
      <c r="G25" s="41"/>
      <c r="H25" s="41"/>
      <c r="I25" s="41"/>
      <c r="J25" s="41"/>
      <c r="K25" s="41"/>
      <c r="L25" s="41"/>
      <c r="M25" s="41"/>
      <c r="N25" s="32"/>
      <c r="O25" s="32"/>
    </row>
    <row r="26" spans="1:15" x14ac:dyDescent="0.4">
      <c r="A26" s="26"/>
      <c r="B26" s="31"/>
      <c r="G26" s="32"/>
      <c r="H26" s="32"/>
      <c r="I26" s="32"/>
      <c r="J26" s="32"/>
      <c r="K26" s="43"/>
      <c r="L26" s="43"/>
      <c r="M26" s="44"/>
      <c r="N26" s="32"/>
      <c r="O26" s="32"/>
    </row>
    <row r="27" spans="1:15" ht="42.75" customHeight="1" x14ac:dyDescent="0.4">
      <c r="A27" s="27"/>
      <c r="B27" s="27"/>
      <c r="G27" s="29" t="s">
        <v>9</v>
      </c>
      <c r="H27" s="29" t="s">
        <v>37</v>
      </c>
      <c r="I27" s="29" t="s">
        <v>348</v>
      </c>
      <c r="J27" s="29" t="s">
        <v>349</v>
      </c>
      <c r="K27" s="30" t="s">
        <v>212</v>
      </c>
      <c r="L27" s="34" t="s">
        <v>346</v>
      </c>
      <c r="M27" s="29" t="s">
        <v>347</v>
      </c>
      <c r="N27" s="32"/>
      <c r="O27" s="32"/>
    </row>
    <row r="28" spans="1:15" x14ac:dyDescent="0.4">
      <c r="A28" s="26" t="s">
        <v>350</v>
      </c>
      <c r="B28" s="26"/>
      <c r="C28" s="31" t="s">
        <v>49</v>
      </c>
      <c r="K28" s="35"/>
      <c r="L28" s="36"/>
      <c r="N28" s="32"/>
      <c r="O28" s="32"/>
    </row>
    <row r="29" spans="1:15" x14ac:dyDescent="0.4">
      <c r="A29" s="37" t="s">
        <v>234</v>
      </c>
      <c r="B29" s="37"/>
      <c r="C29" s="31" t="s">
        <v>31</v>
      </c>
      <c r="D29" s="31"/>
      <c r="E29" s="31"/>
      <c r="F29" s="31"/>
      <c r="G29" s="194">
        <f>SUM('#1-Meritus:#5034-Mt Washington Pediatric'!F40:F40)</f>
        <v>6112327.4532123338</v>
      </c>
      <c r="H29" s="194">
        <f>SUM('#1-Meritus:#5034-Mt Washington Pediatric'!G40:G40)</f>
        <v>101767.5</v>
      </c>
      <c r="I29" s="194">
        <f>SUM('#1-Meritus:#5034-Mt Washington Pediatric'!H40:H40)</f>
        <v>368029289.12866807</v>
      </c>
      <c r="J29" s="194">
        <f>SUM('#1-Meritus:#5034-Mt Washington Pediatric'!I40:I40)</f>
        <v>181563633.65935892</v>
      </c>
      <c r="K29" s="194">
        <f>SUM('#1-Meritus:#5034-Mt Washington Pediatric'!J40:J40)</f>
        <v>2965918</v>
      </c>
      <c r="L29" s="194">
        <f>SUM('#1-Meritus:#5034-Mt Washington Pediatric'!K40:K40)</f>
        <v>546627004.78802705</v>
      </c>
      <c r="M29" s="64">
        <f>L29-J29</f>
        <v>365063371.12866813</v>
      </c>
      <c r="N29" s="32"/>
      <c r="O29" s="32"/>
    </row>
    <row r="30" spans="1:15" x14ac:dyDescent="0.4">
      <c r="A30" s="37" t="s">
        <v>235</v>
      </c>
      <c r="B30" s="37"/>
      <c r="C30" s="24" t="s">
        <v>50</v>
      </c>
      <c r="G30" s="194">
        <f>SUM('#1-Meritus:#5034-Mt Washington Pediatric'!F41:F41)</f>
        <v>543358.96960399998</v>
      </c>
      <c r="H30" s="194">
        <f>SUM('#1-Meritus:#5034-Mt Washington Pediatric'!G41:G41)</f>
        <v>49027.249999929547</v>
      </c>
      <c r="I30" s="194">
        <f>SUM('#1-Meritus:#5034-Mt Washington Pediatric'!H41:H41)</f>
        <v>23281120.812407419</v>
      </c>
      <c r="J30" s="194">
        <f>SUM('#1-Meritus:#5034-Mt Washington Pediatric'!I41:I41)</f>
        <v>11094930.146998577</v>
      </c>
      <c r="K30" s="194">
        <f>SUM('#1-Meritus:#5034-Mt Washington Pediatric'!J41:J41)</f>
        <v>1301</v>
      </c>
      <c r="L30" s="194">
        <f>SUM('#1-Meritus:#5034-Mt Washington Pediatric'!K41:K41)</f>
        <v>34374749.959406003</v>
      </c>
      <c r="M30" s="64">
        <f t="shared" ref="M30:M38" si="2">L30-J30</f>
        <v>23279819.812407427</v>
      </c>
      <c r="N30" s="32"/>
      <c r="O30" s="32"/>
    </row>
    <row r="31" spans="1:15" x14ac:dyDescent="0.4">
      <c r="A31" s="37" t="s">
        <v>236</v>
      </c>
      <c r="B31" s="37"/>
      <c r="C31" s="24" t="s">
        <v>11</v>
      </c>
      <c r="D31" s="45"/>
      <c r="E31" s="45"/>
      <c r="F31" s="45"/>
      <c r="G31" s="194">
        <f>SUM('#1-Meritus:#5034-Mt Washington Pediatric'!F42:F42)</f>
        <v>248203.20199145944</v>
      </c>
      <c r="H31" s="194">
        <f>SUM('#1-Meritus:#5034-Mt Washington Pediatric'!G42:G42)</f>
        <v>33811.178749999999</v>
      </c>
      <c r="I31" s="194">
        <f>SUM('#1-Meritus:#5034-Mt Washington Pediatric'!H42:H42)</f>
        <v>13247968.230749862</v>
      </c>
      <c r="J31" s="194">
        <f>SUM('#1-Meritus:#5034-Mt Washington Pediatric'!I42:I42)</f>
        <v>5980055.9899415532</v>
      </c>
      <c r="K31" s="194">
        <f>SUM('#1-Meritus:#5034-Mt Washington Pediatric'!J42:J42)</f>
        <v>166854.42251999999</v>
      </c>
      <c r="L31" s="194">
        <f>SUM('#1-Meritus:#5034-Mt Washington Pediatric'!K42:K42)</f>
        <v>19061169.79817142</v>
      </c>
      <c r="M31" s="64">
        <f t="shared" si="2"/>
        <v>13081113.808229867</v>
      </c>
      <c r="N31" s="32"/>
      <c r="O31" s="32"/>
    </row>
    <row r="32" spans="1:15" x14ac:dyDescent="0.4">
      <c r="A32" s="37" t="s">
        <v>237</v>
      </c>
      <c r="B32" s="37"/>
      <c r="C32" s="24" t="s">
        <v>10</v>
      </c>
      <c r="G32" s="194">
        <f>SUM('#1-Meritus:#5034-Mt Washington Pediatric'!F43:F43)</f>
        <v>1233</v>
      </c>
      <c r="H32" s="194">
        <f>SUM('#1-Meritus:#5034-Mt Washington Pediatric'!G43:G43)</f>
        <v>220</v>
      </c>
      <c r="I32" s="194">
        <f>SUM('#1-Meritus:#5034-Mt Washington Pediatric'!H43:H43)</f>
        <v>3423624</v>
      </c>
      <c r="J32" s="194">
        <f>SUM('#1-Meritus:#5034-Mt Washington Pediatric'!I43:I43)</f>
        <v>1680448.3535</v>
      </c>
      <c r="K32" s="194">
        <f>SUM('#1-Meritus:#5034-Mt Washington Pediatric'!J43:J43)</f>
        <v>46082</v>
      </c>
      <c r="L32" s="194">
        <f>SUM('#1-Meritus:#5034-Mt Washington Pediatric'!K43:K43)</f>
        <v>5057990.3534999993</v>
      </c>
      <c r="M32" s="64">
        <f t="shared" si="2"/>
        <v>3377541.9999999991</v>
      </c>
      <c r="N32" s="32"/>
      <c r="O32" s="32"/>
    </row>
    <row r="33" spans="1:15" x14ac:dyDescent="0.4">
      <c r="A33" s="1" t="s">
        <v>91</v>
      </c>
      <c r="B33" s="37"/>
      <c r="C33" s="623" t="s">
        <v>229</v>
      </c>
      <c r="D33" s="624"/>
      <c r="E33" s="625"/>
      <c r="F33"/>
      <c r="G33" s="194">
        <f>SUM('#1-Meritus:#5034-Mt Washington Pediatric'!F44:F44)</f>
        <v>50700.126318256385</v>
      </c>
      <c r="H33" s="194">
        <f>SUM('#1-Meritus:#5034-Mt Washington Pediatric'!G44:G44)</f>
        <v>3604.9847668150928</v>
      </c>
      <c r="I33" s="194">
        <f>SUM('#1-Meritus:#5034-Mt Washington Pediatric'!H44:H44)</f>
        <v>2492003.3347931067</v>
      </c>
      <c r="J33" s="194">
        <f>SUM('#1-Meritus:#5034-Mt Washington Pediatric'!I44:I44)</f>
        <v>1267230.8356767544</v>
      </c>
      <c r="K33" s="194">
        <f>SUM('#1-Meritus:#5034-Mt Washington Pediatric'!J44:J44)</f>
        <v>55125</v>
      </c>
      <c r="L33" s="194">
        <f>SUM('#1-Meritus:#5034-Mt Washington Pediatric'!K44:K44)</f>
        <v>3704109.170469861</v>
      </c>
      <c r="M33" s="64">
        <f t="shared" si="2"/>
        <v>2436878.3347931067</v>
      </c>
      <c r="N33" s="32"/>
      <c r="O33" s="32"/>
    </row>
    <row r="34" spans="1:15" x14ac:dyDescent="0.4">
      <c r="A34" s="1" t="s">
        <v>139</v>
      </c>
      <c r="C34" s="623" t="s">
        <v>229</v>
      </c>
      <c r="D34" s="624"/>
      <c r="E34" s="625"/>
      <c r="F34"/>
      <c r="G34" s="194">
        <f>SUM('#1-Meritus:#5034-Mt Washington Pediatric'!F45:F45)</f>
        <v>12023.95</v>
      </c>
      <c r="H34" s="194">
        <f>SUM('#1-Meritus:#5034-Mt Washington Pediatric'!G45:G45)</f>
        <v>2074</v>
      </c>
      <c r="I34" s="194">
        <f>SUM('#1-Meritus:#5034-Mt Washington Pediatric'!H45:H45)</f>
        <v>764744.93</v>
      </c>
      <c r="J34" s="194">
        <f>SUM('#1-Meritus:#5034-Mt Washington Pediatric'!I45:I45)</f>
        <v>644068.18004600005</v>
      </c>
      <c r="K34" s="194">
        <f>SUM('#1-Meritus:#5034-Mt Washington Pediatric'!J45:J45)</f>
        <v>728247.57</v>
      </c>
      <c r="L34" s="194">
        <f>SUM('#1-Meritus:#5034-Mt Washington Pediatric'!K45:K45)</f>
        <v>680565.54004600027</v>
      </c>
      <c r="M34" s="64">
        <f t="shared" si="2"/>
        <v>36497.360000000219</v>
      </c>
      <c r="N34" s="32"/>
      <c r="O34" s="32"/>
    </row>
    <row r="35" spans="1:15" x14ac:dyDescent="0.4">
      <c r="A35" s="1" t="s">
        <v>140</v>
      </c>
      <c r="C35" s="623" t="s">
        <v>229</v>
      </c>
      <c r="D35" s="624"/>
      <c r="E35" s="625"/>
      <c r="F35"/>
      <c r="G35" s="194">
        <f>SUM('#1-Meritus:#5034-Mt Washington Pediatric'!F46:F46)</f>
        <v>464</v>
      </c>
      <c r="H35" s="194">
        <f>SUM('#1-Meritus:#5034-Mt Washington Pediatric'!G46:G46)</f>
        <v>1303</v>
      </c>
      <c r="I35" s="194">
        <f>SUM('#1-Meritus:#5034-Mt Washington Pediatric'!H46:H46)</f>
        <v>72847.536640000006</v>
      </c>
      <c r="J35" s="194">
        <f>SUM('#1-Meritus:#5034-Mt Washington Pediatric'!I46:I46)</f>
        <v>61352.195358208002</v>
      </c>
      <c r="K35" s="194">
        <f>SUM('#1-Meritus:#5034-Mt Washington Pediatric'!J46:J46)</f>
        <v>0</v>
      </c>
      <c r="L35" s="194">
        <f>SUM('#1-Meritus:#5034-Mt Washington Pediatric'!K46:K46)</f>
        <v>134199.73199820801</v>
      </c>
      <c r="M35" s="64">
        <f t="shared" si="2"/>
        <v>72847.536640000006</v>
      </c>
      <c r="N35" s="32"/>
      <c r="O35" s="32"/>
    </row>
    <row r="36" spans="1:15" x14ac:dyDescent="0.4">
      <c r="A36" s="1" t="s">
        <v>141</v>
      </c>
      <c r="C36" s="623" t="s">
        <v>229</v>
      </c>
      <c r="D36" s="624"/>
      <c r="E36" s="625"/>
      <c r="F36"/>
      <c r="G36" s="194">
        <f>SUM('#1-Meritus:#5034-Mt Washington Pediatric'!F47:F47)</f>
        <v>0</v>
      </c>
      <c r="H36" s="194">
        <f>SUM('#1-Meritus:#5034-Mt Washington Pediatric'!G47:G47)</f>
        <v>0</v>
      </c>
      <c r="I36" s="194">
        <f>SUM('#1-Meritus:#5034-Mt Washington Pediatric'!H47:H47)</f>
        <v>0</v>
      </c>
      <c r="J36" s="194">
        <f>SUM('#1-Meritus:#5034-Mt Washington Pediatric'!I47:I47)</f>
        <v>0</v>
      </c>
      <c r="K36" s="194">
        <f>SUM('#1-Meritus:#5034-Mt Washington Pediatric'!J47:J47)</f>
        <v>0</v>
      </c>
      <c r="L36" s="194">
        <f>SUM('#1-Meritus:#5034-Mt Washington Pediatric'!K47:K47)</f>
        <v>0</v>
      </c>
      <c r="M36" s="64">
        <f t="shared" si="2"/>
        <v>0</v>
      </c>
      <c r="N36" s="32"/>
      <c r="O36" s="32"/>
    </row>
    <row r="37" spans="1:15" x14ac:dyDescent="0.4">
      <c r="A37" s="1"/>
      <c r="C37" s="70"/>
      <c r="D37" s="70"/>
      <c r="E37" s="70"/>
      <c r="F37" s="189"/>
      <c r="G37" s="69"/>
      <c r="H37" s="69"/>
      <c r="I37" s="69"/>
      <c r="J37" s="69"/>
      <c r="K37" s="69"/>
      <c r="L37" s="69"/>
      <c r="M37" s="71"/>
      <c r="N37" s="32"/>
      <c r="O37" s="32"/>
    </row>
    <row r="38" spans="1:15" x14ac:dyDescent="0.4">
      <c r="A38" s="27" t="s">
        <v>142</v>
      </c>
      <c r="B38" s="27"/>
      <c r="C38" s="31" t="s">
        <v>222</v>
      </c>
      <c r="G38" s="33">
        <f>SUM(G29:G36)</f>
        <v>6968310.7011260502</v>
      </c>
      <c r="H38" s="33">
        <f t="shared" ref="H38:L38" si="3">SUM(H29:H36)</f>
        <v>191807.91351674462</v>
      </c>
      <c r="I38" s="64">
        <f t="shared" si="3"/>
        <v>411311597.97325844</v>
      </c>
      <c r="J38" s="64">
        <f t="shared" si="3"/>
        <v>202291719.36088005</v>
      </c>
      <c r="K38" s="64">
        <f t="shared" si="3"/>
        <v>3963527.9925199999</v>
      </c>
      <c r="L38" s="64">
        <f t="shared" si="3"/>
        <v>609639789.34161854</v>
      </c>
      <c r="M38" s="64">
        <f t="shared" si="2"/>
        <v>407348069.98073852</v>
      </c>
      <c r="N38" s="32"/>
      <c r="O38" s="32"/>
    </row>
    <row r="39" spans="1:15" x14ac:dyDescent="0.4">
      <c r="A39" s="27"/>
      <c r="B39" s="27"/>
      <c r="G39" s="32"/>
      <c r="H39" s="32"/>
      <c r="I39" s="32"/>
      <c r="J39" s="32"/>
      <c r="K39" s="32"/>
      <c r="L39" s="41"/>
      <c r="M39" s="32"/>
      <c r="N39" s="32"/>
      <c r="O39" s="32"/>
    </row>
    <row r="40" spans="1:15" x14ac:dyDescent="0.4">
      <c r="A40" s="27"/>
      <c r="B40" s="27"/>
      <c r="G40" s="32"/>
      <c r="H40" s="32"/>
      <c r="I40" s="32"/>
      <c r="J40" s="32"/>
      <c r="K40" s="32"/>
      <c r="L40" s="32"/>
      <c r="M40" s="32"/>
      <c r="N40" s="32"/>
      <c r="O40" s="32"/>
    </row>
    <row r="41" spans="1:15" ht="36.9" x14ac:dyDescent="0.4">
      <c r="A41" s="27"/>
      <c r="B41" s="27"/>
      <c r="G41" s="29" t="s">
        <v>9</v>
      </c>
      <c r="H41" s="29" t="s">
        <v>37</v>
      </c>
      <c r="I41" s="29" t="s">
        <v>348</v>
      </c>
      <c r="J41" s="29" t="s">
        <v>349</v>
      </c>
      <c r="K41" s="30" t="s">
        <v>212</v>
      </c>
      <c r="L41" s="34" t="s">
        <v>346</v>
      </c>
      <c r="M41" s="29" t="s">
        <v>347</v>
      </c>
      <c r="N41" s="32"/>
      <c r="O41" s="32"/>
    </row>
    <row r="42" spans="1:15" x14ac:dyDescent="0.4">
      <c r="A42" s="26" t="s">
        <v>351</v>
      </c>
      <c r="B42" s="27"/>
      <c r="C42" s="46" t="s">
        <v>352</v>
      </c>
      <c r="K42" s="35"/>
      <c r="L42" s="36"/>
      <c r="N42" s="32"/>
      <c r="O42" s="32"/>
    </row>
    <row r="43" spans="1:15" x14ac:dyDescent="0.4">
      <c r="B43" s="26"/>
      <c r="C43" s="31" t="s">
        <v>222</v>
      </c>
      <c r="D43" s="46"/>
      <c r="E43" s="46"/>
      <c r="F43" s="46"/>
      <c r="G43" s="194">
        <f>SUM('#1-Meritus:#5034-Mt Washington Pediatric'!F64:F64)</f>
        <v>4153090.377631675</v>
      </c>
      <c r="H43" s="194">
        <f>SUM('#1-Meritus:#5034-Mt Washington Pediatric'!G64:G64)</f>
        <v>1785748.8599999999</v>
      </c>
      <c r="I43" s="194">
        <f>SUM('#1-Meritus:#5034-Mt Washington Pediatric'!H64:H64)</f>
        <v>965405337.45666158</v>
      </c>
      <c r="J43" s="194">
        <f>SUM('#1-Meritus:#5034-Mt Washington Pediatric'!I64:I64)</f>
        <v>143239575.55998647</v>
      </c>
      <c r="K43" s="194">
        <f>SUM('#1-Meritus:#5034-Mt Washington Pediatric'!J64:J64)</f>
        <v>391574976.96959591</v>
      </c>
      <c r="L43" s="194">
        <f>SUM('#1-Meritus:#5034-Mt Washington Pediatric'!K64:K64)</f>
        <v>717069936.0470525</v>
      </c>
      <c r="M43" s="64">
        <f>L43-J43</f>
        <v>573830360.48706603</v>
      </c>
      <c r="N43" s="32"/>
      <c r="O43" s="32"/>
    </row>
    <row r="44" spans="1:15" x14ac:dyDescent="0.4">
      <c r="A44" s="37"/>
      <c r="B44" s="37"/>
      <c r="G44" s="47"/>
      <c r="H44" s="47"/>
      <c r="I44" s="47"/>
      <c r="J44" s="47"/>
      <c r="K44" s="47"/>
      <c r="L44" s="41"/>
      <c r="M44" s="48"/>
      <c r="N44" s="32"/>
      <c r="O44" s="32"/>
    </row>
    <row r="45" spans="1:15" x14ac:dyDescent="0.4">
      <c r="A45" s="37"/>
      <c r="B45" s="37"/>
      <c r="K45" s="35"/>
      <c r="L45" s="36"/>
      <c r="M45" s="32"/>
      <c r="N45" s="32"/>
      <c r="O45" s="32"/>
    </row>
    <row r="46" spans="1:15" ht="45.75" customHeight="1" x14ac:dyDescent="0.4">
      <c r="A46" s="26" t="s">
        <v>353</v>
      </c>
      <c r="B46" s="27"/>
      <c r="C46" s="31" t="s">
        <v>12</v>
      </c>
      <c r="G46" s="29" t="s">
        <v>9</v>
      </c>
      <c r="H46" s="29" t="s">
        <v>37</v>
      </c>
      <c r="I46" s="29" t="s">
        <v>348</v>
      </c>
      <c r="J46" s="29" t="s">
        <v>349</v>
      </c>
      <c r="K46" s="30" t="s">
        <v>212</v>
      </c>
      <c r="L46" s="34" t="s">
        <v>346</v>
      </c>
      <c r="M46" s="29" t="s">
        <v>347</v>
      </c>
      <c r="N46" s="32"/>
      <c r="O46" s="32"/>
    </row>
    <row r="47" spans="1:15" x14ac:dyDescent="0.4">
      <c r="A47" s="37" t="s">
        <v>238</v>
      </c>
      <c r="B47" s="27"/>
      <c r="C47" s="31" t="s">
        <v>52</v>
      </c>
      <c r="G47" s="194">
        <f>SUM('#1-Meritus:#5034-Mt Washington Pediatric'!F68:F68)</f>
        <v>75839.304838709664</v>
      </c>
      <c r="H47" s="194">
        <f>SUM('#1-Meritus:#5034-Mt Washington Pediatric'!G68:G68)</f>
        <v>19452</v>
      </c>
      <c r="I47" s="194">
        <f>SUM('#1-Meritus:#5034-Mt Washington Pediatric'!H68:H68)</f>
        <v>9941889.1563111693</v>
      </c>
      <c r="J47" s="194">
        <f>SUM('#1-Meritus:#5034-Mt Washington Pediatric'!I68:I68)</f>
        <v>3274828.3120739521</v>
      </c>
      <c r="K47" s="194">
        <f>SUM('#1-Meritus:#5034-Mt Washington Pediatric'!J68:J68)</f>
        <v>2632353</v>
      </c>
      <c r="L47" s="194">
        <f>SUM('#1-Meritus:#5034-Mt Washington Pediatric'!K68:K68)</f>
        <v>10584364.468385121</v>
      </c>
      <c r="M47" s="64">
        <f>L47-J47</f>
        <v>7309536.1563111693</v>
      </c>
      <c r="N47" s="32"/>
      <c r="O47" s="32"/>
    </row>
    <row r="48" spans="1:15" x14ac:dyDescent="0.4">
      <c r="A48" s="37" t="s">
        <v>239</v>
      </c>
      <c r="B48" s="26"/>
      <c r="C48" s="31" t="s">
        <v>53</v>
      </c>
      <c r="G48" s="194">
        <f>SUM('#1-Meritus:#5034-Mt Washington Pediatric'!F69:F69)</f>
        <v>39836.800000000003</v>
      </c>
      <c r="H48" s="194">
        <f>SUM('#1-Meritus:#5034-Mt Washington Pediatric'!G69:G69)</f>
        <v>1832</v>
      </c>
      <c r="I48" s="194">
        <f>SUM('#1-Meritus:#5034-Mt Washington Pediatric'!H69:H69)</f>
        <v>2791247.0325000002</v>
      </c>
      <c r="J48" s="194">
        <f>SUM('#1-Meritus:#5034-Mt Washington Pediatric'!I69:I69)</f>
        <v>1468733.1456784559</v>
      </c>
      <c r="K48" s="194">
        <f>SUM('#1-Meritus:#5034-Mt Washington Pediatric'!J69:J69)</f>
        <v>0</v>
      </c>
      <c r="L48" s="194">
        <f>SUM('#1-Meritus:#5034-Mt Washington Pediatric'!K69:K69)</f>
        <v>4259980.1781784557</v>
      </c>
      <c r="M48" s="64">
        <f>L48-J48</f>
        <v>2791247.0324999997</v>
      </c>
      <c r="N48" s="32"/>
      <c r="O48" s="32"/>
    </row>
    <row r="49" spans="1:15" x14ac:dyDescent="0.4">
      <c r="A49" s="37" t="s">
        <v>300</v>
      </c>
      <c r="B49" s="37"/>
      <c r="C49" s="31" t="s">
        <v>229</v>
      </c>
      <c r="D49" s="31"/>
      <c r="E49" s="31"/>
      <c r="F49" s="31"/>
      <c r="G49" s="194">
        <f>SUM('#1-Meritus:#5034-Mt Washington Pediatric'!F70:F70)</f>
        <v>0</v>
      </c>
      <c r="H49" s="194">
        <f>SUM('#1-Meritus:#5034-Mt Washington Pediatric'!G70:G70)</f>
        <v>0</v>
      </c>
      <c r="I49" s="194">
        <f>SUM('#1-Meritus:#5034-Mt Washington Pediatric'!H70:H70)</f>
        <v>378247</v>
      </c>
      <c r="J49" s="194">
        <f>SUM('#1-Meritus:#5034-Mt Washington Pediatric'!I70:I70)</f>
        <v>261018.21540000002</v>
      </c>
      <c r="K49" s="194">
        <f>SUM('#1-Meritus:#5034-Mt Washington Pediatric'!J70:J70)</f>
        <v>24276</v>
      </c>
      <c r="L49" s="194">
        <f>SUM('#1-Meritus:#5034-Mt Washington Pediatric'!K70:K70)</f>
        <v>614989.21539999999</v>
      </c>
      <c r="M49" s="64">
        <f>L49-J49</f>
        <v>353971</v>
      </c>
      <c r="N49" s="32"/>
      <c r="O49" s="32"/>
    </row>
    <row r="50" spans="1:15" x14ac:dyDescent="0.4">
      <c r="D50" s="31"/>
      <c r="E50" s="31"/>
      <c r="F50" s="31"/>
      <c r="G50" s="38"/>
      <c r="H50" s="38"/>
      <c r="I50" s="38"/>
      <c r="J50" s="38"/>
      <c r="K50" s="38"/>
      <c r="L50" s="38"/>
      <c r="M50" s="39"/>
      <c r="N50" s="32"/>
      <c r="O50" s="32"/>
    </row>
    <row r="51" spans="1:15" x14ac:dyDescent="0.4">
      <c r="A51" s="37" t="s">
        <v>146</v>
      </c>
      <c r="B51" s="37"/>
      <c r="C51" s="31" t="s">
        <v>222</v>
      </c>
      <c r="G51" s="33">
        <f>SUM(G47:G49)</f>
        <v>115676.10483870967</v>
      </c>
      <c r="H51" s="33">
        <f t="shared" ref="H51:M51" si="4">SUM(H47:H49)</f>
        <v>21284</v>
      </c>
      <c r="I51" s="68">
        <f t="shared" si="4"/>
        <v>13111383.18881117</v>
      </c>
      <c r="J51" s="68">
        <f t="shared" si="4"/>
        <v>5004579.6731524086</v>
      </c>
      <c r="K51" s="68">
        <f t="shared" si="4"/>
        <v>2656629</v>
      </c>
      <c r="L51" s="68">
        <f t="shared" si="4"/>
        <v>15459333.861963576</v>
      </c>
      <c r="M51" s="68">
        <f t="shared" si="4"/>
        <v>10454754.188811168</v>
      </c>
      <c r="N51" s="32"/>
      <c r="O51" s="32"/>
    </row>
    <row r="52" spans="1:15" x14ac:dyDescent="0.4">
      <c r="A52" s="37"/>
      <c r="B52" s="37"/>
      <c r="G52" s="49"/>
      <c r="H52" s="49"/>
      <c r="I52" s="49"/>
      <c r="J52" s="49"/>
      <c r="K52" s="49"/>
      <c r="L52" s="41"/>
      <c r="M52" s="44"/>
      <c r="N52" s="32"/>
      <c r="O52" s="32"/>
    </row>
    <row r="53" spans="1:15" ht="46.5" customHeight="1" x14ac:dyDescent="0.5">
      <c r="A53" s="27" t="s">
        <v>354</v>
      </c>
      <c r="B53" s="27"/>
      <c r="C53" s="50" t="s">
        <v>68</v>
      </c>
      <c r="G53" s="29" t="s">
        <v>9</v>
      </c>
      <c r="H53" s="29" t="s">
        <v>37</v>
      </c>
      <c r="I53" s="51" t="s">
        <v>348</v>
      </c>
      <c r="J53" s="51" t="s">
        <v>349</v>
      </c>
      <c r="K53" s="30" t="s">
        <v>212</v>
      </c>
      <c r="L53" s="34" t="s">
        <v>346</v>
      </c>
      <c r="M53" s="29" t="s">
        <v>347</v>
      </c>
      <c r="N53" s="32"/>
      <c r="O53" s="32"/>
    </row>
    <row r="54" spans="1:15" ht="15" x14ac:dyDescent="0.5">
      <c r="A54" s="27"/>
      <c r="B54" s="27"/>
      <c r="C54" s="50"/>
      <c r="K54" s="35"/>
      <c r="L54" s="36"/>
      <c r="N54" s="32"/>
      <c r="O54" s="32"/>
    </row>
    <row r="55" spans="1:15" x14ac:dyDescent="0.4">
      <c r="A55" s="37" t="s">
        <v>240</v>
      </c>
      <c r="B55" s="27"/>
      <c r="C55" s="26" t="s">
        <v>54</v>
      </c>
      <c r="G55" s="194">
        <f>SUM('#1-Meritus:#5034-Mt Washington Pediatric'!F77:F77)</f>
        <v>3107.9129503933887</v>
      </c>
      <c r="H55" s="194">
        <f>SUM('#1-Meritus:#5034-Mt Washington Pediatric'!G77:G77)</f>
        <v>27163</v>
      </c>
      <c r="I55" s="194">
        <f>SUM('#1-Meritus:#5034-Mt Washington Pediatric'!H77:H77)</f>
        <v>7640727.6394021995</v>
      </c>
      <c r="J55" s="194">
        <f>SUM('#1-Meritus:#5034-Mt Washington Pediatric'!I77:I77)</f>
        <v>303166.51466081128</v>
      </c>
      <c r="K55" s="194">
        <f>SUM('#1-Meritus:#5034-Mt Washington Pediatric'!J77:J77)</f>
        <v>119574</v>
      </c>
      <c r="L55" s="194">
        <f>SUM('#1-Meritus:#5034-Mt Washington Pediatric'!K77:K77)</f>
        <v>7824320.1540630106</v>
      </c>
      <c r="M55" s="64">
        <f>L55-J55</f>
        <v>7521153.6394021995</v>
      </c>
      <c r="N55" s="32"/>
      <c r="O55" s="32"/>
    </row>
    <row r="56" spans="1:15" x14ac:dyDescent="0.4">
      <c r="A56" s="37" t="s">
        <v>241</v>
      </c>
      <c r="B56" s="26"/>
      <c r="C56" s="26" t="s">
        <v>55</v>
      </c>
      <c r="G56" s="194">
        <f>SUM('#1-Meritus:#5034-Mt Washington Pediatric'!F78:F78)</f>
        <v>2689.7</v>
      </c>
      <c r="H56" s="194">
        <f>SUM('#1-Meritus:#5034-Mt Washington Pediatric'!G78:G78)</f>
        <v>307</v>
      </c>
      <c r="I56" s="194">
        <f>SUM('#1-Meritus:#5034-Mt Washington Pediatric'!H78:H78)</f>
        <v>501140.58</v>
      </c>
      <c r="J56" s="194">
        <f>SUM('#1-Meritus:#5034-Mt Washington Pediatric'!I78:I78)</f>
        <v>41269.663655229</v>
      </c>
      <c r="K56" s="194">
        <f>SUM('#1-Meritus:#5034-Mt Washington Pediatric'!J78:J78)</f>
        <v>40505.06</v>
      </c>
      <c r="L56" s="194">
        <f>SUM('#1-Meritus:#5034-Mt Washington Pediatric'!K78:K78)</f>
        <v>501905.18365522905</v>
      </c>
      <c r="M56" s="64">
        <f>L56-J56</f>
        <v>460635.52</v>
      </c>
      <c r="N56" s="32"/>
      <c r="O56" s="32"/>
    </row>
    <row r="57" spans="1:15" x14ac:dyDescent="0.4">
      <c r="A57" s="37" t="s">
        <v>242</v>
      </c>
      <c r="B57" s="37"/>
      <c r="C57" s="26" t="s">
        <v>13</v>
      </c>
      <c r="G57" s="194">
        <f>SUM('#1-Meritus:#5034-Mt Washington Pediatric'!F79:F79)</f>
        <v>19599.400640540189</v>
      </c>
      <c r="H57" s="194">
        <f>SUM('#1-Meritus:#5034-Mt Washington Pediatric'!G79:G79)</f>
        <v>116140.40362857835</v>
      </c>
      <c r="I57" s="194">
        <f>SUM('#1-Meritus:#5034-Mt Washington Pediatric'!H79:H79)</f>
        <v>3541342.5125149027</v>
      </c>
      <c r="J57" s="194">
        <f>SUM('#1-Meritus:#5034-Mt Washington Pediatric'!I79:I79)</f>
        <v>140654.78532622446</v>
      </c>
      <c r="K57" s="194">
        <f>SUM('#1-Meritus:#5034-Mt Washington Pediatric'!J79:J79)</f>
        <v>187434</v>
      </c>
      <c r="L57" s="194">
        <f>SUM('#1-Meritus:#5034-Mt Washington Pediatric'!K79:K79)</f>
        <v>3494563.2978411261</v>
      </c>
      <c r="M57" s="64">
        <f>L57-J57</f>
        <v>3353908.5125149018</v>
      </c>
      <c r="N57" s="32"/>
      <c r="O57" s="32"/>
    </row>
    <row r="58" spans="1:15" x14ac:dyDescent="0.4">
      <c r="A58" s="37" t="s">
        <v>243</v>
      </c>
      <c r="B58" s="37"/>
      <c r="C58" s="26" t="s">
        <v>56</v>
      </c>
      <c r="G58" s="194">
        <f>SUM('#1-Meritus:#5034-Mt Washington Pediatric'!F80:F80)</f>
        <v>313</v>
      </c>
      <c r="H58" s="194">
        <f>SUM('#1-Meritus:#5034-Mt Washington Pediatric'!G80:G80)</f>
        <v>763</v>
      </c>
      <c r="I58" s="194">
        <f>SUM('#1-Meritus:#5034-Mt Washington Pediatric'!H80:H80)</f>
        <v>2872058.2521143197</v>
      </c>
      <c r="J58" s="194">
        <f>SUM('#1-Meritus:#5034-Mt Washington Pediatric'!I80:I80)</f>
        <v>128729.22411767954</v>
      </c>
      <c r="K58" s="194">
        <f>SUM('#1-Meritus:#5034-Mt Washington Pediatric'!J80:J80)</f>
        <v>0</v>
      </c>
      <c r="L58" s="194">
        <f>SUM('#1-Meritus:#5034-Mt Washington Pediatric'!K80:K80)</f>
        <v>3000787.4762319992</v>
      </c>
      <c r="M58" s="64">
        <f>L58-J58</f>
        <v>2872058.2521143197</v>
      </c>
      <c r="N58" s="32"/>
      <c r="O58" s="32"/>
    </row>
    <row r="59" spans="1:15" x14ac:dyDescent="0.4">
      <c r="A59" s="37"/>
      <c r="B59" s="37"/>
      <c r="C59" s="52"/>
      <c r="G59" s="39"/>
      <c r="H59" s="39"/>
      <c r="I59" s="39"/>
      <c r="J59" s="39"/>
      <c r="K59" s="39"/>
      <c r="L59" s="39"/>
      <c r="M59" s="39"/>
      <c r="N59" s="32"/>
      <c r="O59" s="32"/>
    </row>
    <row r="60" spans="1:15" x14ac:dyDescent="0.4">
      <c r="A60" s="37" t="s">
        <v>148</v>
      </c>
      <c r="B60" s="37"/>
      <c r="C60" s="26" t="s">
        <v>222</v>
      </c>
      <c r="D60" s="52"/>
      <c r="E60" s="52"/>
      <c r="F60" s="52"/>
      <c r="G60" s="33">
        <f>SUM(G55:G59)</f>
        <v>25710.013590933577</v>
      </c>
      <c r="H60" s="33">
        <f t="shared" ref="H60:M60" si="5">SUM(H55:H59)</f>
        <v>144373.40362857835</v>
      </c>
      <c r="I60" s="68">
        <f t="shared" si="5"/>
        <v>14555268.984031422</v>
      </c>
      <c r="J60" s="68">
        <f t="shared" si="5"/>
        <v>613820.18775994435</v>
      </c>
      <c r="K60" s="68">
        <f t="shared" si="5"/>
        <v>347513.06</v>
      </c>
      <c r="L60" s="68">
        <f t="shared" si="5"/>
        <v>14821576.111791365</v>
      </c>
      <c r="M60" s="68">
        <f t="shared" si="5"/>
        <v>14207755.924031422</v>
      </c>
      <c r="N60" s="32"/>
      <c r="O60" s="32"/>
    </row>
    <row r="61" spans="1:15" x14ac:dyDescent="0.4">
      <c r="A61" s="37"/>
      <c r="B61" s="37"/>
      <c r="C61" s="26"/>
      <c r="D61" s="52"/>
      <c r="E61" s="52"/>
      <c r="F61" s="52"/>
      <c r="G61" s="48"/>
      <c r="H61" s="48"/>
      <c r="I61" s="48"/>
      <c r="J61" s="48"/>
      <c r="K61" s="48"/>
      <c r="L61" s="41"/>
      <c r="M61" s="48"/>
      <c r="N61" s="32"/>
      <c r="O61" s="32"/>
    </row>
    <row r="62" spans="1:15" x14ac:dyDescent="0.4">
      <c r="A62" s="37"/>
      <c r="G62" s="41"/>
      <c r="H62" s="41"/>
      <c r="I62" s="42"/>
      <c r="J62" s="42"/>
      <c r="K62" s="42"/>
      <c r="L62" s="42"/>
      <c r="M62" s="42"/>
      <c r="N62" s="32"/>
      <c r="O62" s="32"/>
    </row>
    <row r="63" spans="1:15" x14ac:dyDescent="0.4">
      <c r="A63" s="37"/>
      <c r="B63" s="37"/>
      <c r="C63" s="26"/>
      <c r="K63" s="35"/>
      <c r="L63" s="36"/>
      <c r="N63" s="32"/>
      <c r="O63" s="32"/>
    </row>
    <row r="64" spans="1:15" ht="41.25" customHeight="1" x14ac:dyDescent="0.4">
      <c r="A64" s="26" t="s">
        <v>355</v>
      </c>
      <c r="B64" s="37"/>
      <c r="C64" s="31" t="s">
        <v>57</v>
      </c>
      <c r="G64" s="29" t="s">
        <v>9</v>
      </c>
      <c r="H64" s="29" t="s">
        <v>37</v>
      </c>
      <c r="I64" s="29" t="s">
        <v>348</v>
      </c>
      <c r="J64" s="29" t="s">
        <v>349</v>
      </c>
      <c r="K64" s="30" t="s">
        <v>212</v>
      </c>
      <c r="L64" s="34" t="s">
        <v>346</v>
      </c>
      <c r="M64" s="29" t="s">
        <v>347</v>
      </c>
      <c r="N64" s="32"/>
      <c r="O64" s="32"/>
    </row>
    <row r="65" spans="1:15" x14ac:dyDescent="0.4">
      <c r="K65" s="35"/>
      <c r="L65" s="36"/>
      <c r="N65" s="32"/>
      <c r="O65" s="32"/>
    </row>
    <row r="66" spans="1:15" x14ac:dyDescent="0.4">
      <c r="A66" s="37" t="s">
        <v>244</v>
      </c>
      <c r="B66" s="27"/>
      <c r="C66" s="31" t="s">
        <v>356</v>
      </c>
      <c r="G66" s="194">
        <f>SUM('#1-Meritus:#5034-Mt Washington Pediatric'!F86:F86)</f>
        <v>3589.5</v>
      </c>
      <c r="H66" s="194">
        <f>SUM('#1-Meritus:#5034-Mt Washington Pediatric'!G86:G86)</f>
        <v>19956</v>
      </c>
      <c r="I66" s="194">
        <f>SUM('#1-Meritus:#5034-Mt Washington Pediatric'!H86:H86)</f>
        <v>1284478.08</v>
      </c>
      <c r="J66" s="194">
        <f>SUM('#1-Meritus:#5034-Mt Washington Pediatric'!I86:I86)</f>
        <v>405089.43733412318</v>
      </c>
      <c r="K66" s="194">
        <f>SUM('#1-Meritus:#5034-Mt Washington Pediatric'!J86:J86)</f>
        <v>69227</v>
      </c>
      <c r="L66" s="194">
        <f>SUM('#1-Meritus:#5034-Mt Washington Pediatric'!K86:K86)</f>
        <v>1620340.5173341231</v>
      </c>
      <c r="M66" s="64">
        <f>L66-J66</f>
        <v>1215251.08</v>
      </c>
      <c r="N66" s="32"/>
      <c r="O66" s="32"/>
    </row>
    <row r="67" spans="1:15" x14ac:dyDescent="0.4">
      <c r="A67" s="37" t="s">
        <v>245</v>
      </c>
      <c r="B67" s="26"/>
      <c r="C67" s="31" t="s">
        <v>14</v>
      </c>
      <c r="D67" s="31"/>
      <c r="E67" s="31"/>
      <c r="F67" s="31"/>
      <c r="G67" s="194">
        <f>SUM('#1-Meritus:#5034-Mt Washington Pediatric'!F87:F87)</f>
        <v>4555</v>
      </c>
      <c r="H67" s="194">
        <f>SUM('#1-Meritus:#5034-Mt Washington Pediatric'!G87:G87)</f>
        <v>3323</v>
      </c>
      <c r="I67" s="194">
        <f>SUM('#1-Meritus:#5034-Mt Washington Pediatric'!H87:H87)</f>
        <v>1335028.6184833525</v>
      </c>
      <c r="J67" s="194">
        <f>SUM('#1-Meritus:#5034-Mt Washington Pediatric'!I87:I87)</f>
        <v>516190.07216012647</v>
      </c>
      <c r="K67" s="194">
        <f>SUM('#1-Meritus:#5034-Mt Washington Pediatric'!J87:J87)</f>
        <v>162306.68</v>
      </c>
      <c r="L67" s="194">
        <f>SUM('#1-Meritus:#5034-Mt Washington Pediatric'!K87:K87)</f>
        <v>1688912.0106434785</v>
      </c>
      <c r="M67" s="64">
        <f t="shared" ref="M67:M76" si="6">L67-J67</f>
        <v>1172721.9384833521</v>
      </c>
      <c r="N67" s="32"/>
      <c r="O67" s="32"/>
    </row>
    <row r="68" spans="1:15" x14ac:dyDescent="0.4">
      <c r="A68" s="37" t="s">
        <v>246</v>
      </c>
      <c r="B68" s="37"/>
      <c r="C68" s="31" t="s">
        <v>357</v>
      </c>
      <c r="D68" s="31"/>
      <c r="E68" s="31"/>
      <c r="F68" s="31"/>
      <c r="G68" s="194">
        <f>SUM('#1-Meritus:#5034-Mt Washington Pediatric'!F88:F88)</f>
        <v>263382.30157548224</v>
      </c>
      <c r="H68" s="194">
        <f>SUM('#1-Meritus:#5034-Mt Washington Pediatric'!G88:G88)</f>
        <v>17865</v>
      </c>
      <c r="I68" s="194">
        <f>SUM('#1-Meritus:#5034-Mt Washington Pediatric'!H88:H88)</f>
        <v>14306946.867847083</v>
      </c>
      <c r="J68" s="194">
        <f>SUM('#1-Meritus:#5034-Mt Washington Pediatric'!I88:I88)</f>
        <v>8632115.1048355568</v>
      </c>
      <c r="K68" s="194">
        <f>SUM('#1-Meritus:#5034-Mt Washington Pediatric'!J88:J88)</f>
        <v>2562800</v>
      </c>
      <c r="L68" s="194">
        <f>SUM('#1-Meritus:#5034-Mt Washington Pediatric'!K88:K88)</f>
        <v>20376261.97268264</v>
      </c>
      <c r="M68" s="64">
        <f t="shared" si="6"/>
        <v>11744146.867847083</v>
      </c>
      <c r="N68" s="32"/>
      <c r="O68" s="32"/>
    </row>
    <row r="69" spans="1:15" x14ac:dyDescent="0.4">
      <c r="A69" s="37" t="s">
        <v>247</v>
      </c>
      <c r="B69" s="37"/>
      <c r="C69" s="31" t="s">
        <v>58</v>
      </c>
      <c r="D69" s="31"/>
      <c r="E69" s="31"/>
      <c r="F69" s="31"/>
      <c r="G69" s="194">
        <f>SUM('#1-Meritus:#5034-Mt Washington Pediatric'!F89:F89)</f>
        <v>5140</v>
      </c>
      <c r="H69" s="194">
        <f>SUM('#1-Meritus:#5034-Mt Washington Pediatric'!G89:G89)</f>
        <v>20</v>
      </c>
      <c r="I69" s="194">
        <f>SUM('#1-Meritus:#5034-Mt Washington Pediatric'!H89:H89)</f>
        <v>616614.78</v>
      </c>
      <c r="J69" s="194">
        <f>SUM('#1-Meritus:#5034-Mt Washington Pediatric'!I89:I89)</f>
        <v>216731.23510000002</v>
      </c>
      <c r="K69" s="194">
        <f>SUM('#1-Meritus:#5034-Mt Washington Pediatric'!J89:J89)</f>
        <v>0</v>
      </c>
      <c r="L69" s="194">
        <f>SUM('#1-Meritus:#5034-Mt Washington Pediatric'!K89:K89)</f>
        <v>833346.01509999996</v>
      </c>
      <c r="M69" s="64">
        <f t="shared" si="6"/>
        <v>616614.77999999991</v>
      </c>
      <c r="N69" s="32"/>
      <c r="O69" s="32"/>
    </row>
    <row r="70" spans="1:15" x14ac:dyDescent="0.4">
      <c r="A70" s="37" t="s">
        <v>248</v>
      </c>
      <c r="B70" s="37"/>
      <c r="C70" s="31" t="s">
        <v>59</v>
      </c>
      <c r="D70" s="31"/>
      <c r="E70" s="31"/>
      <c r="F70" s="31"/>
      <c r="G70" s="194">
        <f>SUM('#1-Meritus:#5034-Mt Washington Pediatric'!F90:F90)</f>
        <v>7470.2111361042107</v>
      </c>
      <c r="H70" s="194">
        <f>SUM('#1-Meritus:#5034-Mt Washington Pediatric'!G90:G90)</f>
        <v>720.66894298876684</v>
      </c>
      <c r="I70" s="194">
        <f>SUM('#1-Meritus:#5034-Mt Washington Pediatric'!H90:H90)</f>
        <v>332217.45500000002</v>
      </c>
      <c r="J70" s="194">
        <f>SUM('#1-Meritus:#5034-Mt Washington Pediatric'!I90:I90)</f>
        <v>241386.03194250091</v>
      </c>
      <c r="K70" s="194">
        <f>SUM('#1-Meritus:#5034-Mt Washington Pediatric'!J90:J90)</f>
        <v>25000</v>
      </c>
      <c r="L70" s="194">
        <f>SUM('#1-Meritus:#5034-Mt Washington Pediatric'!K90:K90)</f>
        <v>548603.48694250092</v>
      </c>
      <c r="M70" s="64">
        <f t="shared" si="6"/>
        <v>307217.45500000002</v>
      </c>
      <c r="N70" s="32"/>
      <c r="O70" s="32"/>
    </row>
    <row r="71" spans="1:15" x14ac:dyDescent="0.4">
      <c r="A71" s="37" t="s">
        <v>249</v>
      </c>
      <c r="B71" s="37"/>
      <c r="C71" s="31" t="s">
        <v>60</v>
      </c>
      <c r="D71" s="54"/>
      <c r="E71" s="54"/>
      <c r="F71" s="54"/>
      <c r="G71" s="194">
        <f>SUM('#1-Meritus:#5034-Mt Washington Pediatric'!F91:F91)</f>
        <v>19963.62068334554</v>
      </c>
      <c r="H71" s="194">
        <f>SUM('#1-Meritus:#5034-Mt Washington Pediatric'!G91:G91)</f>
        <v>6794.4866000000002</v>
      </c>
      <c r="I71" s="194">
        <f>SUM('#1-Meritus:#5034-Mt Washington Pediatric'!H91:H91)</f>
        <v>3190771.2307075663</v>
      </c>
      <c r="J71" s="194">
        <f>SUM('#1-Meritus:#5034-Mt Washington Pediatric'!I91:I91)</f>
        <v>2054113.6544240804</v>
      </c>
      <c r="K71" s="194">
        <f>SUM('#1-Meritus:#5034-Mt Washington Pediatric'!J91:J91)</f>
        <v>1017691.00606</v>
      </c>
      <c r="L71" s="194">
        <f>SUM('#1-Meritus:#5034-Mt Washington Pediatric'!K91:K91)</f>
        <v>4227193.8790716464</v>
      </c>
      <c r="M71" s="64">
        <f t="shared" si="6"/>
        <v>2173080.2246475657</v>
      </c>
      <c r="N71" s="32"/>
      <c r="O71" s="32"/>
    </row>
    <row r="72" spans="1:15" x14ac:dyDescent="0.4">
      <c r="A72" s="37" t="s">
        <v>250</v>
      </c>
      <c r="B72" s="37"/>
      <c r="C72" s="31" t="s">
        <v>358</v>
      </c>
      <c r="D72" s="31"/>
      <c r="E72" s="31"/>
      <c r="F72" s="31"/>
      <c r="G72" s="194">
        <f>SUM('#1-Meritus:#5034-Mt Washington Pediatric'!F92:F92)</f>
        <v>10355.125599999999</v>
      </c>
      <c r="H72" s="194">
        <f>SUM('#1-Meritus:#5034-Mt Washington Pediatric'!G92:G92)</f>
        <v>3211</v>
      </c>
      <c r="I72" s="194">
        <f>SUM('#1-Meritus:#5034-Mt Washington Pediatric'!H92:H92)</f>
        <v>1249100.7543001631</v>
      </c>
      <c r="J72" s="194">
        <f>SUM('#1-Meritus:#5034-Mt Washington Pediatric'!I92:I92)</f>
        <v>556955.22290128481</v>
      </c>
      <c r="K72" s="194">
        <f>SUM('#1-Meritus:#5034-Mt Washington Pediatric'!J92:J92)</f>
        <v>0</v>
      </c>
      <c r="L72" s="194">
        <f>SUM('#1-Meritus:#5034-Mt Washington Pediatric'!K92:K92)</f>
        <v>1806055.9772014478</v>
      </c>
      <c r="M72" s="64">
        <f t="shared" si="6"/>
        <v>1249100.7543001631</v>
      </c>
      <c r="N72" s="32"/>
      <c r="O72" s="32"/>
    </row>
    <row r="73" spans="1:15" x14ac:dyDescent="0.4">
      <c r="A73" s="37" t="s">
        <v>251</v>
      </c>
      <c r="B73" s="37"/>
      <c r="C73" s="31" t="s">
        <v>359</v>
      </c>
      <c r="D73" s="31"/>
      <c r="E73" s="31"/>
      <c r="F73" s="31"/>
      <c r="G73" s="194">
        <f>SUM('#1-Meritus:#5034-Mt Washington Pediatric'!F93:F93)</f>
        <v>63437.691185093776</v>
      </c>
      <c r="H73" s="194">
        <f>SUM('#1-Meritus:#5034-Mt Washington Pediatric'!G93:G93)</f>
        <v>15728</v>
      </c>
      <c r="I73" s="194">
        <f>SUM('#1-Meritus:#5034-Mt Washington Pediatric'!H93:H93)</f>
        <v>4016449.3770334353</v>
      </c>
      <c r="J73" s="194">
        <f>SUM('#1-Meritus:#5034-Mt Washington Pediatric'!I93:I93)</f>
        <v>2519256.0761856739</v>
      </c>
      <c r="K73" s="194">
        <f>SUM('#1-Meritus:#5034-Mt Washington Pediatric'!J93:J93)</f>
        <v>284952</v>
      </c>
      <c r="L73" s="194">
        <f>SUM('#1-Meritus:#5034-Mt Washington Pediatric'!K93:K93)</f>
        <v>6250753.4532191074</v>
      </c>
      <c r="M73" s="64">
        <f t="shared" si="6"/>
        <v>3731497.3770334334</v>
      </c>
      <c r="N73" s="32"/>
      <c r="O73" s="32"/>
    </row>
    <row r="74" spans="1:15" x14ac:dyDescent="0.4">
      <c r="A74" s="37" t="s">
        <v>301</v>
      </c>
      <c r="B74" s="37"/>
      <c r="C74" s="31" t="s">
        <v>229</v>
      </c>
      <c r="D74" s="31"/>
      <c r="E74" s="31"/>
      <c r="F74" s="31"/>
      <c r="G74" s="194">
        <f>SUM('#1-Meritus:#5034-Mt Washington Pediatric'!F94:F94)</f>
        <v>1932</v>
      </c>
      <c r="H74" s="194">
        <f>SUM('#1-Meritus:#5034-Mt Washington Pediatric'!G94:G94)</f>
        <v>1230</v>
      </c>
      <c r="I74" s="194">
        <f>SUM('#1-Meritus:#5034-Mt Washington Pediatric'!H94:H94)</f>
        <v>192992.69178712618</v>
      </c>
      <c r="J74" s="194">
        <f>SUM('#1-Meritus:#5034-Mt Washington Pediatric'!I94:I94)</f>
        <v>81595.032579999999</v>
      </c>
      <c r="K74" s="194">
        <f>SUM('#1-Meritus:#5034-Mt Washington Pediatric'!J94:J94)</f>
        <v>0</v>
      </c>
      <c r="L74" s="194">
        <f>SUM('#1-Meritus:#5034-Mt Washington Pediatric'!K94:K94)</f>
        <v>274587.72436712618</v>
      </c>
      <c r="M74" s="64">
        <f t="shared" si="6"/>
        <v>192992.69178712618</v>
      </c>
      <c r="N74" s="32"/>
      <c r="O74" s="32"/>
    </row>
    <row r="75" spans="1:15" x14ac:dyDescent="0.4">
      <c r="A75" s="37" t="s">
        <v>112</v>
      </c>
      <c r="B75" s="37"/>
      <c r="C75" s="31" t="s">
        <v>229</v>
      </c>
      <c r="D75" s="31"/>
      <c r="E75" s="31"/>
      <c r="F75" s="31"/>
      <c r="G75" s="194">
        <f>SUM('#1-Meritus:#5034-Mt Washington Pediatric'!F95:F95)</f>
        <v>0</v>
      </c>
      <c r="H75" s="194">
        <f>SUM('#1-Meritus:#5034-Mt Washington Pediatric'!G95:G95)</f>
        <v>0</v>
      </c>
      <c r="I75" s="194">
        <f>SUM('#1-Meritus:#5034-Mt Washington Pediatric'!H95:H95)</f>
        <v>0</v>
      </c>
      <c r="J75" s="194">
        <f>SUM('#1-Meritus:#5034-Mt Washington Pediatric'!I95:I95)</f>
        <v>0</v>
      </c>
      <c r="K75" s="194">
        <f>SUM('#1-Meritus:#5034-Mt Washington Pediatric'!J95:J95)</f>
        <v>0</v>
      </c>
      <c r="L75" s="194">
        <f>SUM('#1-Meritus:#5034-Mt Washington Pediatric'!K95:K95)</f>
        <v>0</v>
      </c>
      <c r="M75" s="64">
        <f t="shared" si="6"/>
        <v>0</v>
      </c>
      <c r="N75" s="32"/>
      <c r="O75" s="32"/>
    </row>
    <row r="76" spans="1:15" x14ac:dyDescent="0.4">
      <c r="A76" s="37" t="s">
        <v>360</v>
      </c>
      <c r="B76" s="37"/>
      <c r="C76" s="626"/>
      <c r="D76" s="626"/>
      <c r="E76" s="627"/>
      <c r="F76" s="65"/>
      <c r="G76" s="194">
        <f>SUM('#1-Meritus:#5034-Mt Washington Pediatric'!F96:F96)</f>
        <v>0</v>
      </c>
      <c r="H76" s="194">
        <f>SUM('#1-Meritus:#5034-Mt Washington Pediatric'!G96:G96)</f>
        <v>0</v>
      </c>
      <c r="I76" s="194">
        <f>SUM('#1-Meritus:#5034-Mt Washington Pediatric'!H96:H96)</f>
        <v>0</v>
      </c>
      <c r="J76" s="194">
        <f>SUM('#1-Meritus:#5034-Mt Washington Pediatric'!I96:I96)</f>
        <v>0</v>
      </c>
      <c r="K76" s="194">
        <f>SUM('#1-Meritus:#5034-Mt Washington Pediatric'!J96:J96)</f>
        <v>0</v>
      </c>
      <c r="L76" s="194">
        <f>SUM('#1-Meritus:#5034-Mt Washington Pediatric'!K96:K96)</f>
        <v>0</v>
      </c>
      <c r="M76" s="64">
        <f t="shared" si="6"/>
        <v>0</v>
      </c>
      <c r="N76" s="32"/>
      <c r="O76" s="32"/>
    </row>
    <row r="77" spans="1:15" x14ac:dyDescent="0.4">
      <c r="B77" s="37"/>
      <c r="D77" s="31"/>
      <c r="E77" s="31"/>
      <c r="F77" s="31"/>
      <c r="I77" s="44"/>
      <c r="J77" s="44"/>
      <c r="K77" s="44"/>
      <c r="L77" s="44"/>
      <c r="M77" s="32"/>
      <c r="N77" s="32"/>
      <c r="O77" s="32"/>
    </row>
    <row r="78" spans="1:15" x14ac:dyDescent="0.4">
      <c r="A78" s="26" t="s">
        <v>150</v>
      </c>
      <c r="B78" s="37"/>
      <c r="C78" s="31" t="s">
        <v>222</v>
      </c>
      <c r="G78" s="53">
        <f>SUM(G66:G76)</f>
        <v>379825.45018002571</v>
      </c>
      <c r="H78" s="53">
        <f t="shared" ref="H78:M78" si="7">SUM(H66:H76)</f>
        <v>68848.155542988767</v>
      </c>
      <c r="I78" s="53">
        <f t="shared" si="7"/>
        <v>26524599.855158728</v>
      </c>
      <c r="J78" s="53">
        <f t="shared" si="7"/>
        <v>15223431.867463347</v>
      </c>
      <c r="K78" s="53">
        <f t="shared" si="7"/>
        <v>4121976.6860600002</v>
      </c>
      <c r="L78" s="53">
        <f t="shared" si="7"/>
        <v>37626055.036562063</v>
      </c>
      <c r="M78" s="53">
        <f t="shared" si="7"/>
        <v>22402623.169098724</v>
      </c>
      <c r="N78" s="32"/>
      <c r="O78" s="32"/>
    </row>
    <row r="79" spans="1:15" x14ac:dyDescent="0.4">
      <c r="A79" s="37"/>
      <c r="B79" s="37"/>
      <c r="C79" s="31"/>
      <c r="G79" s="47"/>
      <c r="H79" s="47"/>
      <c r="I79" s="47"/>
      <c r="J79" s="47"/>
      <c r="K79" s="47"/>
      <c r="L79" s="41"/>
      <c r="M79" s="47"/>
      <c r="N79" s="32"/>
      <c r="O79" s="32"/>
    </row>
    <row r="80" spans="1:15" x14ac:dyDescent="0.4">
      <c r="A80" s="27"/>
      <c r="B80" s="27"/>
      <c r="C80" s="31"/>
      <c r="K80" s="35"/>
      <c r="L80" s="36"/>
      <c r="N80" s="32"/>
      <c r="O80" s="32"/>
    </row>
    <row r="81" spans="1:15" ht="46.5" customHeight="1" x14ac:dyDescent="0.4">
      <c r="A81" s="31" t="s">
        <v>361</v>
      </c>
      <c r="B81" s="31"/>
      <c r="C81" s="31" t="s">
        <v>63</v>
      </c>
      <c r="G81" s="29" t="s">
        <v>9</v>
      </c>
      <c r="H81" s="29" t="s">
        <v>37</v>
      </c>
      <c r="I81" s="29" t="s">
        <v>348</v>
      </c>
      <c r="J81" s="29" t="s">
        <v>349</v>
      </c>
      <c r="K81" s="30" t="s">
        <v>212</v>
      </c>
      <c r="L81" s="34" t="s">
        <v>346</v>
      </c>
      <c r="M81" s="29" t="s">
        <v>347</v>
      </c>
      <c r="N81" s="32"/>
      <c r="O81" s="32"/>
    </row>
    <row r="82" spans="1:15" x14ac:dyDescent="0.4">
      <c r="A82" s="27"/>
      <c r="B82" s="27"/>
      <c r="C82" s="31"/>
      <c r="K82" s="35"/>
      <c r="L82" s="36"/>
      <c r="N82" s="32"/>
      <c r="O82" s="32"/>
    </row>
    <row r="83" spans="1:15" x14ac:dyDescent="0.4">
      <c r="A83" s="37" t="s">
        <v>252</v>
      </c>
      <c r="B83" s="27"/>
      <c r="C83" s="24" t="s">
        <v>362</v>
      </c>
      <c r="G83" s="194">
        <f>SUM('#1-Meritus:#5034-Mt Washington Pediatric'!F102:F102)</f>
        <v>78831.13263942927</v>
      </c>
      <c r="H83" s="194">
        <f>SUM('#1-Meritus:#5034-Mt Washington Pediatric'!G102:G102)</f>
        <v>1334</v>
      </c>
      <c r="I83" s="194">
        <f>SUM('#1-Meritus:#5034-Mt Washington Pediatric'!H102:H102)</f>
        <v>5553313.0684278328</v>
      </c>
      <c r="J83" s="194">
        <f>SUM('#1-Meritus:#5034-Mt Washington Pediatric'!I102:I102)</f>
        <v>3151687.1009949031</v>
      </c>
      <c r="K83" s="194">
        <f>SUM('#1-Meritus:#5034-Mt Washington Pediatric'!J102:J102)</f>
        <v>23010.304683999999</v>
      </c>
      <c r="L83" s="194">
        <f>SUM('#1-Meritus:#5034-Mt Washington Pediatric'!K102:K102)</f>
        <v>8681989.8647387344</v>
      </c>
      <c r="M83" s="64">
        <f>L83-J83</f>
        <v>5530302.7637438308</v>
      </c>
      <c r="N83" s="32"/>
      <c r="O83" s="32"/>
    </row>
    <row r="84" spans="1:15" x14ac:dyDescent="0.4">
      <c r="A84" s="37" t="s">
        <v>253</v>
      </c>
      <c r="B84" s="26"/>
      <c r="C84" s="24" t="s">
        <v>62</v>
      </c>
      <c r="G84" s="194">
        <f>SUM('#1-Meritus:#5034-Mt Washington Pediatric'!F103:F103)</f>
        <v>19486.274106288769</v>
      </c>
      <c r="H84" s="194">
        <f>SUM('#1-Meritus:#5034-Mt Washington Pediatric'!G103:G103)</f>
        <v>92769</v>
      </c>
      <c r="I84" s="194">
        <f>SUM('#1-Meritus:#5034-Mt Washington Pediatric'!H103:H103)</f>
        <v>1181525.1010052837</v>
      </c>
      <c r="J84" s="194">
        <f>SUM('#1-Meritus:#5034-Mt Washington Pediatric'!I103:I103)</f>
        <v>862245.53029801382</v>
      </c>
      <c r="K84" s="194">
        <f>SUM('#1-Meritus:#5034-Mt Washington Pediatric'!J103:J103)</f>
        <v>13575</v>
      </c>
      <c r="L84" s="194">
        <f>SUM('#1-Meritus:#5034-Mt Washington Pediatric'!K103:K103)</f>
        <v>2030195.6313032974</v>
      </c>
      <c r="M84" s="64">
        <f>L84-J84</f>
        <v>1167950.1010052837</v>
      </c>
      <c r="N84" s="32"/>
      <c r="O84" s="32"/>
    </row>
    <row r="85" spans="1:15" x14ac:dyDescent="0.4">
      <c r="A85" s="37" t="s">
        <v>299</v>
      </c>
      <c r="B85" s="37"/>
      <c r="C85" s="24" t="s">
        <v>298</v>
      </c>
      <c r="D85" s="45"/>
      <c r="E85" s="45"/>
      <c r="F85" s="45"/>
      <c r="G85" s="194">
        <f>SUM('#1-Meritus:#5034-Mt Washington Pediatric'!F104:F104)</f>
        <v>894</v>
      </c>
      <c r="H85" s="194">
        <f>SUM('#1-Meritus:#5034-Mt Washington Pediatric'!G104:G104)</f>
        <v>50</v>
      </c>
      <c r="I85" s="194">
        <f>SUM('#1-Meritus:#5034-Mt Washington Pediatric'!H104:H104)</f>
        <v>1749289</v>
      </c>
      <c r="J85" s="194">
        <f>SUM('#1-Meritus:#5034-Mt Washington Pediatric'!I104:I104)</f>
        <v>467224.63153094426</v>
      </c>
      <c r="K85" s="194">
        <f>SUM('#1-Meritus:#5034-Mt Washington Pediatric'!J104:J104)</f>
        <v>0</v>
      </c>
      <c r="L85" s="194">
        <f>SUM('#1-Meritus:#5034-Mt Washington Pediatric'!K104:K104)</f>
        <v>2216513.6315309443</v>
      </c>
      <c r="M85" s="64">
        <f>L85-J85</f>
        <v>1749289</v>
      </c>
      <c r="N85" s="32"/>
      <c r="O85" s="32"/>
    </row>
    <row r="86" spans="1:15" x14ac:dyDescent="0.4">
      <c r="A86" s="37" t="s">
        <v>302</v>
      </c>
      <c r="B86" s="37"/>
      <c r="C86" s="31"/>
      <c r="G86" s="194">
        <f>SUM('#1-Meritus:#5034-Mt Washington Pediatric'!F105:F105)</f>
        <v>0</v>
      </c>
      <c r="H86" s="194">
        <f>SUM('#1-Meritus:#5034-Mt Washington Pediatric'!G105:G105)</f>
        <v>0</v>
      </c>
      <c r="I86" s="194">
        <f>SUM('#1-Meritus:#5034-Mt Washington Pediatric'!H105:H105)</f>
        <v>0</v>
      </c>
      <c r="J86" s="194">
        <f>SUM('#1-Meritus:#5034-Mt Washington Pediatric'!I105:I105)</f>
        <v>0</v>
      </c>
      <c r="K86" s="194">
        <f>SUM('#1-Meritus:#5034-Mt Washington Pediatric'!J105:J105)</f>
        <v>0</v>
      </c>
      <c r="L86" s="194">
        <f>SUM('#1-Meritus:#5034-Mt Washington Pediatric'!K105:K105)</f>
        <v>0</v>
      </c>
      <c r="M86" s="64">
        <f>L86-J86</f>
        <v>0</v>
      </c>
      <c r="N86" s="32"/>
      <c r="O86" s="32"/>
    </row>
    <row r="87" spans="1:15" x14ac:dyDescent="0.4">
      <c r="A87" s="37" t="s">
        <v>303</v>
      </c>
      <c r="B87" s="37"/>
      <c r="C87" s="31"/>
      <c r="G87" s="194">
        <f>SUM('#1-Meritus:#5034-Mt Washington Pediatric'!F106:F106)</f>
        <v>0</v>
      </c>
      <c r="H87" s="194">
        <f>SUM('#1-Meritus:#5034-Mt Washington Pediatric'!G106:G106)</f>
        <v>0</v>
      </c>
      <c r="I87" s="194">
        <f>SUM('#1-Meritus:#5034-Mt Washington Pediatric'!H106:H106)</f>
        <v>0</v>
      </c>
      <c r="J87" s="194">
        <f>SUM('#1-Meritus:#5034-Mt Washington Pediatric'!I106:I106)</f>
        <v>0</v>
      </c>
      <c r="K87" s="194">
        <f>SUM('#1-Meritus:#5034-Mt Washington Pediatric'!J106:J106)</f>
        <v>0</v>
      </c>
      <c r="L87" s="194">
        <f>SUM('#1-Meritus:#5034-Mt Washington Pediatric'!K106:K106)</f>
        <v>0</v>
      </c>
      <c r="M87" s="64">
        <f>L87-J87</f>
        <v>0</v>
      </c>
      <c r="N87" s="32"/>
      <c r="O87" s="32"/>
    </row>
    <row r="88" spans="1:15" x14ac:dyDescent="0.4">
      <c r="A88" s="37"/>
      <c r="B88" s="37"/>
      <c r="C88" s="31"/>
      <c r="G88" s="55"/>
      <c r="N88" s="32"/>
      <c r="O88" s="32"/>
    </row>
    <row r="89" spans="1:15" x14ac:dyDescent="0.4">
      <c r="A89" s="31" t="s">
        <v>153</v>
      </c>
      <c r="B89" s="27"/>
      <c r="C89" s="31" t="s">
        <v>222</v>
      </c>
      <c r="D89" s="32"/>
      <c r="E89" s="32"/>
      <c r="F89" s="32"/>
      <c r="G89" s="53">
        <f>SUM(G83:G87)</f>
        <v>99211.406745718035</v>
      </c>
      <c r="H89" s="53">
        <f t="shared" ref="H89:M89" si="8">SUM(H83:H87)</f>
        <v>94153</v>
      </c>
      <c r="I89" s="53">
        <f t="shared" si="8"/>
        <v>8484127.1694331169</v>
      </c>
      <c r="J89" s="53">
        <f t="shared" si="8"/>
        <v>4481157.2628238611</v>
      </c>
      <c r="K89" s="53">
        <f t="shared" si="8"/>
        <v>36585.304684000002</v>
      </c>
      <c r="L89" s="53">
        <f t="shared" si="8"/>
        <v>12928699.127572976</v>
      </c>
      <c r="M89" s="53">
        <f t="shared" si="8"/>
        <v>8447541.864749115</v>
      </c>
      <c r="N89" s="32"/>
      <c r="O89" s="32"/>
    </row>
    <row r="90" spans="1:15" x14ac:dyDescent="0.4">
      <c r="A90" s="27"/>
      <c r="B90" s="27"/>
      <c r="C90" s="31"/>
      <c r="D90" s="32"/>
      <c r="E90" s="32"/>
      <c r="F90" s="32"/>
      <c r="G90" s="56"/>
      <c r="H90" s="56"/>
      <c r="I90" s="56"/>
      <c r="J90" s="56"/>
      <c r="K90" s="56"/>
      <c r="L90" s="41"/>
      <c r="M90" s="32"/>
      <c r="N90" s="32"/>
      <c r="O90" s="32"/>
    </row>
    <row r="91" spans="1:15" x14ac:dyDescent="0.4">
      <c r="A91" s="27"/>
      <c r="B91" s="27"/>
      <c r="C91" s="31"/>
      <c r="D91" s="32"/>
      <c r="E91" s="32"/>
      <c r="F91" s="32"/>
      <c r="K91" s="35"/>
      <c r="L91" s="36"/>
      <c r="M91" s="32"/>
      <c r="N91" s="32"/>
      <c r="O91" s="32"/>
    </row>
    <row r="92" spans="1:15" x14ac:dyDescent="0.4">
      <c r="A92" s="26" t="s">
        <v>363</v>
      </c>
      <c r="B92" s="27"/>
      <c r="C92" s="31" t="s">
        <v>39</v>
      </c>
      <c r="K92" s="35"/>
      <c r="L92" s="36"/>
      <c r="N92" s="32"/>
      <c r="O92" s="32"/>
    </row>
    <row r="93" spans="1:15" x14ac:dyDescent="0.4">
      <c r="B93" s="27"/>
      <c r="G93" s="40">
        <f>SUM('#1-Meritus:#5034-Mt Washington Pediatric'!F111)</f>
        <v>348683331.83000004</v>
      </c>
      <c r="I93" s="51"/>
      <c r="J93" s="51"/>
      <c r="K93" s="35"/>
      <c r="L93" s="36"/>
      <c r="N93" s="32"/>
      <c r="O93" s="32"/>
    </row>
    <row r="94" spans="1:15" x14ac:dyDescent="0.4">
      <c r="B94" s="26"/>
      <c r="C94" s="31"/>
      <c r="K94" s="35"/>
      <c r="L94" s="36"/>
      <c r="N94" s="32"/>
      <c r="O94" s="32"/>
    </row>
    <row r="95" spans="1:15" x14ac:dyDescent="0.4">
      <c r="A95" s="27"/>
      <c r="B95" s="27"/>
      <c r="K95" s="35"/>
      <c r="L95" s="36"/>
      <c r="N95" s="32"/>
      <c r="O95" s="32"/>
    </row>
    <row r="96" spans="1:15" ht="44.25" customHeight="1" x14ac:dyDescent="0.4">
      <c r="A96" s="27"/>
      <c r="B96" s="27"/>
      <c r="G96" s="29" t="s">
        <v>9</v>
      </c>
      <c r="H96" s="29" t="s">
        <v>37</v>
      </c>
      <c r="I96" s="29" t="s">
        <v>348</v>
      </c>
      <c r="J96" s="29" t="s">
        <v>349</v>
      </c>
      <c r="K96" s="30" t="s">
        <v>212</v>
      </c>
      <c r="L96" s="34" t="s">
        <v>346</v>
      </c>
      <c r="M96" s="29" t="s">
        <v>347</v>
      </c>
      <c r="N96" s="32"/>
      <c r="O96" s="32"/>
    </row>
    <row r="97" spans="1:15" x14ac:dyDescent="0.4">
      <c r="A97" s="26" t="s">
        <v>364</v>
      </c>
      <c r="B97" s="37"/>
      <c r="C97" s="31" t="s">
        <v>23</v>
      </c>
      <c r="K97" s="35"/>
      <c r="L97" s="36"/>
      <c r="N97" s="32"/>
      <c r="O97" s="32"/>
    </row>
    <row r="98" spans="1:15" x14ac:dyDescent="0.4">
      <c r="B98" s="27"/>
      <c r="C98" s="31"/>
      <c r="G98" s="41"/>
      <c r="H98" s="41"/>
      <c r="I98" s="42"/>
      <c r="J98" s="42"/>
      <c r="K98" s="42"/>
      <c r="L98" s="42"/>
      <c r="M98" s="42"/>
      <c r="N98" s="32"/>
      <c r="O98" s="32"/>
    </row>
    <row r="99" spans="1:15" x14ac:dyDescent="0.4">
      <c r="A99" s="37" t="s">
        <v>254</v>
      </c>
      <c r="B99" s="26"/>
      <c r="C99" s="31" t="s">
        <v>24</v>
      </c>
      <c r="G99" s="53">
        <f>SUM('#1-Meritus:#5034-Mt Washington Pediatric'!F131)</f>
        <v>3397</v>
      </c>
      <c r="H99" s="53">
        <f>SUM('#1-Meritus:#5034-Mt Washington Pediatric'!G131)</f>
        <v>10570</v>
      </c>
      <c r="I99" s="53">
        <f>SUM('#1-Meritus:#5034-Mt Washington Pediatric'!H131)</f>
        <v>494133.74</v>
      </c>
      <c r="J99" s="53">
        <f>SUM('#1-Meritus:#5034-Mt Washington Pediatric'!I131)</f>
        <v>122856.936</v>
      </c>
      <c r="K99" s="53">
        <f>SUM('#1-Meritus:#5034-Mt Washington Pediatric'!J131)</f>
        <v>105099.16</v>
      </c>
      <c r="L99" s="53">
        <f>SUM('#1-Meritus:#5034-Mt Washington Pediatric'!K131)</f>
        <v>511891.516</v>
      </c>
      <c r="M99" s="64">
        <f>L99-J99</f>
        <v>389034.58</v>
      </c>
      <c r="N99" s="32"/>
      <c r="O99" s="32"/>
    </row>
    <row r="100" spans="1:15" x14ac:dyDescent="0.4">
      <c r="A100" s="37" t="s">
        <v>255</v>
      </c>
      <c r="B100" s="37"/>
      <c r="C100" s="31" t="s">
        <v>25</v>
      </c>
      <c r="G100" s="53">
        <f>SUM('#1-Meritus:#5034-Mt Washington Pediatric'!F132)</f>
        <v>54.5</v>
      </c>
      <c r="H100" s="53">
        <f>SUM('#1-Meritus:#5034-Mt Washington Pediatric'!G132)</f>
        <v>593</v>
      </c>
      <c r="I100" s="53">
        <f>SUM('#1-Meritus:#5034-Mt Washington Pediatric'!H132)</f>
        <v>378848.55</v>
      </c>
      <c r="J100" s="53">
        <f>SUM('#1-Meritus:#5034-Mt Washington Pediatric'!I132)</f>
        <v>406052</v>
      </c>
      <c r="K100" s="53">
        <f>SUM('#1-Meritus:#5034-Mt Washington Pediatric'!J132)</f>
        <v>131610</v>
      </c>
      <c r="L100" s="53">
        <f>SUM('#1-Meritus:#5034-Mt Washington Pediatric'!K132)</f>
        <v>653290.55000000005</v>
      </c>
      <c r="M100" s="64">
        <f>L100-J100</f>
        <v>247238.55000000005</v>
      </c>
      <c r="N100" s="32"/>
      <c r="O100" s="32"/>
    </row>
    <row r="101" spans="1:15" x14ac:dyDescent="0.4">
      <c r="A101" s="37" t="s">
        <v>378</v>
      </c>
      <c r="B101" s="37"/>
      <c r="C101" s="31" t="s">
        <v>229</v>
      </c>
      <c r="G101" s="53">
        <f>SUM('#1-Meritus:#5034-Mt Washington Pediatric'!F133)</f>
        <v>0</v>
      </c>
      <c r="H101" s="53">
        <f>SUM('#1-Meritus:#5034-Mt Washington Pediatric'!G133)</f>
        <v>0</v>
      </c>
      <c r="I101" s="53">
        <f>SUM('#1-Meritus:#5034-Mt Washington Pediatric'!H133)</f>
        <v>0</v>
      </c>
      <c r="J101" s="53">
        <f>SUM('#1-Meritus:#5034-Mt Washington Pediatric'!I133)</f>
        <v>0</v>
      </c>
      <c r="K101" s="53">
        <f>SUM('#1-Meritus:#5034-Mt Washington Pediatric'!J133)</f>
        <v>0</v>
      </c>
      <c r="L101" s="53">
        <f>SUM('#1-Meritus:#5034-Mt Washington Pediatric'!K133)</f>
        <v>0</v>
      </c>
      <c r="M101" s="64">
        <f>L101-J101</f>
        <v>0</v>
      </c>
      <c r="N101" s="32"/>
      <c r="O101" s="32"/>
    </row>
    <row r="102" spans="1:15" x14ac:dyDescent="0.4">
      <c r="A102" s="37" t="s">
        <v>379</v>
      </c>
      <c r="B102" s="37"/>
      <c r="C102" s="31" t="s">
        <v>229</v>
      </c>
      <c r="G102" s="53">
        <f>SUM('#1-Meritus:#5034-Mt Washington Pediatric'!F134)</f>
        <v>0</v>
      </c>
      <c r="H102" s="53">
        <f>SUM('#1-Meritus:#5034-Mt Washington Pediatric'!G134)</f>
        <v>0</v>
      </c>
      <c r="I102" s="53">
        <f>SUM('#1-Meritus:#5034-Mt Washington Pediatric'!H134)</f>
        <v>0</v>
      </c>
      <c r="J102" s="53">
        <f>SUM('#1-Meritus:#5034-Mt Washington Pediatric'!I134)</f>
        <v>0</v>
      </c>
      <c r="K102" s="53">
        <f>SUM('#1-Meritus:#5034-Mt Washington Pediatric'!J134)</f>
        <v>0</v>
      </c>
      <c r="L102" s="53">
        <f>SUM('#1-Meritus:#5034-Mt Washington Pediatric'!K134)</f>
        <v>0</v>
      </c>
      <c r="M102" s="64">
        <f>L102-J102</f>
        <v>0</v>
      </c>
      <c r="N102" s="32"/>
      <c r="O102" s="32"/>
    </row>
    <row r="103" spans="1:15" x14ac:dyDescent="0.4">
      <c r="A103" s="37" t="s">
        <v>380</v>
      </c>
      <c r="B103" s="37"/>
      <c r="C103" s="31" t="s">
        <v>229</v>
      </c>
      <c r="G103" s="53">
        <f>SUM('#1-Meritus:#5034-Mt Washington Pediatric'!F135)</f>
        <v>0</v>
      </c>
      <c r="H103" s="53">
        <f>SUM('#1-Meritus:#5034-Mt Washington Pediatric'!G135)</f>
        <v>0</v>
      </c>
      <c r="I103" s="53">
        <f>SUM('#1-Meritus:#5034-Mt Washington Pediatric'!H135)</f>
        <v>0</v>
      </c>
      <c r="J103" s="53">
        <f>SUM('#1-Meritus:#5034-Mt Washington Pediatric'!I135)</f>
        <v>0</v>
      </c>
      <c r="K103" s="53">
        <f>SUM('#1-Meritus:#5034-Mt Washington Pediatric'!J135)</f>
        <v>0</v>
      </c>
      <c r="L103" s="53">
        <f>SUM('#1-Meritus:#5034-Mt Washington Pediatric'!K135)</f>
        <v>0</v>
      </c>
      <c r="M103" s="64">
        <f>L103-J103</f>
        <v>0</v>
      </c>
      <c r="N103" s="32"/>
      <c r="O103" s="32"/>
    </row>
    <row r="104" spans="1:15" x14ac:dyDescent="0.4">
      <c r="A104" s="37" t="s">
        <v>163</v>
      </c>
      <c r="B104" s="37"/>
      <c r="C104" s="31" t="s">
        <v>222</v>
      </c>
      <c r="G104" s="33">
        <f t="shared" ref="G104:M104" si="9">SUM(G98:G102)</f>
        <v>3451.5</v>
      </c>
      <c r="H104" s="33">
        <f t="shared" si="9"/>
        <v>11163</v>
      </c>
      <c r="I104" s="40">
        <f t="shared" si="9"/>
        <v>872982.29</v>
      </c>
      <c r="J104" s="40">
        <f t="shared" si="9"/>
        <v>528908.93599999999</v>
      </c>
      <c r="K104" s="40">
        <f t="shared" si="9"/>
        <v>236709.16</v>
      </c>
      <c r="L104" s="40">
        <f t="shared" si="9"/>
        <v>1165182.0660000001</v>
      </c>
      <c r="M104" s="40">
        <f t="shared" si="9"/>
        <v>636273.13000000012</v>
      </c>
      <c r="N104" s="32"/>
      <c r="O104" s="32"/>
    </row>
    <row r="105" spans="1:15" x14ac:dyDescent="0.4">
      <c r="A105" s="26"/>
      <c r="B105" s="26"/>
      <c r="G105" s="44"/>
      <c r="H105" s="44"/>
      <c r="I105" s="44"/>
      <c r="J105" s="44"/>
      <c r="K105" s="44"/>
      <c r="L105" s="41"/>
      <c r="M105" s="44"/>
    </row>
    <row r="106" spans="1:15" x14ac:dyDescent="0.4">
      <c r="A106" s="27"/>
      <c r="B106" s="27"/>
      <c r="K106" s="35"/>
      <c r="L106" s="36"/>
    </row>
    <row r="107" spans="1:15" ht="46.5" customHeight="1" x14ac:dyDescent="0.4">
      <c r="A107" s="31"/>
      <c r="G107" s="29" t="s">
        <v>9</v>
      </c>
      <c r="H107" s="29" t="s">
        <v>37</v>
      </c>
      <c r="I107" s="29" t="s">
        <v>348</v>
      </c>
      <c r="J107" s="29" t="s">
        <v>349</v>
      </c>
      <c r="K107" s="30" t="s">
        <v>212</v>
      </c>
      <c r="L107" s="34" t="s">
        <v>346</v>
      </c>
      <c r="M107" s="29" t="s">
        <v>347</v>
      </c>
    </row>
    <row r="108" spans="1:15" x14ac:dyDescent="0.4">
      <c r="A108" s="24" t="s">
        <v>365</v>
      </c>
      <c r="C108" s="31" t="s">
        <v>26</v>
      </c>
      <c r="K108" s="35"/>
      <c r="L108" s="36"/>
    </row>
    <row r="109" spans="1:15" x14ac:dyDescent="0.4">
      <c r="A109" s="37" t="s">
        <v>366</v>
      </c>
      <c r="B109" s="26"/>
      <c r="C109" s="31" t="s">
        <v>64</v>
      </c>
      <c r="G109" s="53">
        <f>+G24</f>
        <v>934443.12192288472</v>
      </c>
      <c r="H109" s="53">
        <f>+H24</f>
        <v>4453676.104922316</v>
      </c>
      <c r="I109" s="67">
        <f>+I24</f>
        <v>97119859.390973985</v>
      </c>
      <c r="J109" s="67">
        <f>+J24</f>
        <v>47180849.573121935</v>
      </c>
      <c r="K109" s="67">
        <f>+K24</f>
        <v>15574930.994279893</v>
      </c>
      <c r="L109" s="64">
        <f t="shared" ref="L109:L118" si="10">+I109+J109-K109</f>
        <v>128725777.96981603</v>
      </c>
      <c r="M109" s="64">
        <f t="shared" ref="M109:M118" si="11">+I109-K109</f>
        <v>81544928.396694094</v>
      </c>
      <c r="N109" s="32"/>
      <c r="O109" s="32"/>
    </row>
    <row r="110" spans="1:15" x14ac:dyDescent="0.4">
      <c r="A110" s="37" t="s">
        <v>367</v>
      </c>
      <c r="B110" s="37"/>
      <c r="C110" s="31" t="s">
        <v>65</v>
      </c>
      <c r="G110" s="53">
        <f>+G38</f>
        <v>6968310.7011260502</v>
      </c>
      <c r="H110" s="53">
        <f>+H38</f>
        <v>191807.91351674462</v>
      </c>
      <c r="I110" s="67">
        <f>+I38</f>
        <v>411311597.97325844</v>
      </c>
      <c r="J110" s="67">
        <f>+J38</f>
        <v>202291719.36088005</v>
      </c>
      <c r="K110" s="67">
        <f>+K38</f>
        <v>3963527.9925199999</v>
      </c>
      <c r="L110" s="64">
        <f t="shared" si="10"/>
        <v>609639789.34161854</v>
      </c>
      <c r="M110" s="64">
        <f t="shared" si="11"/>
        <v>407348069.98073846</v>
      </c>
      <c r="N110" s="32"/>
      <c r="O110" s="32"/>
    </row>
    <row r="111" spans="1:15" x14ac:dyDescent="0.4">
      <c r="A111" s="37" t="s">
        <v>368</v>
      </c>
      <c r="B111" s="37"/>
      <c r="C111" s="31" t="s">
        <v>66</v>
      </c>
      <c r="G111" s="53">
        <f>+G43</f>
        <v>4153090.377631675</v>
      </c>
      <c r="H111" s="53">
        <f>+H43</f>
        <v>1785748.8599999999</v>
      </c>
      <c r="I111" s="67">
        <f>+I43</f>
        <v>965405337.45666158</v>
      </c>
      <c r="J111" s="67">
        <f>+J43</f>
        <v>143239575.55998647</v>
      </c>
      <c r="K111" s="67">
        <f>+K43</f>
        <v>391574976.96959591</v>
      </c>
      <c r="L111" s="64">
        <f t="shared" si="10"/>
        <v>717069936.04705215</v>
      </c>
      <c r="M111" s="64">
        <f t="shared" si="11"/>
        <v>573830360.48706567</v>
      </c>
      <c r="N111" s="32"/>
      <c r="O111" s="32"/>
    </row>
    <row r="112" spans="1:15" x14ac:dyDescent="0.4">
      <c r="A112" s="37" t="s">
        <v>369</v>
      </c>
      <c r="B112" s="37"/>
      <c r="C112" s="31" t="s">
        <v>67</v>
      </c>
      <c r="G112" s="53">
        <f>+G51</f>
        <v>115676.10483870967</v>
      </c>
      <c r="H112" s="53">
        <f>+H51</f>
        <v>21284</v>
      </c>
      <c r="I112" s="67">
        <f>+I51</f>
        <v>13111383.18881117</v>
      </c>
      <c r="J112" s="67">
        <f>+J51</f>
        <v>5004579.6731524086</v>
      </c>
      <c r="K112" s="67">
        <f>+K51</f>
        <v>2656629</v>
      </c>
      <c r="L112" s="64">
        <f t="shared" si="10"/>
        <v>15459333.861963578</v>
      </c>
      <c r="M112" s="64">
        <f t="shared" si="11"/>
        <v>10454754.18881117</v>
      </c>
      <c r="N112" s="32"/>
      <c r="O112" s="32"/>
    </row>
    <row r="113" spans="1:15" x14ac:dyDescent="0.4">
      <c r="A113" s="37" t="s">
        <v>370</v>
      </c>
      <c r="B113" s="37"/>
      <c r="C113" s="31" t="s">
        <v>68</v>
      </c>
      <c r="G113" s="53">
        <f>+G60</f>
        <v>25710.013590933577</v>
      </c>
      <c r="H113" s="53">
        <f>+H60</f>
        <v>144373.40362857835</v>
      </c>
      <c r="I113" s="67">
        <f>+I60</f>
        <v>14555268.984031422</v>
      </c>
      <c r="J113" s="67">
        <f>+J60</f>
        <v>613820.18775994435</v>
      </c>
      <c r="K113" s="67">
        <f>+K60</f>
        <v>347513.06</v>
      </c>
      <c r="L113" s="64">
        <f t="shared" si="10"/>
        <v>14821576.111791367</v>
      </c>
      <c r="M113" s="64">
        <f t="shared" si="11"/>
        <v>14207755.924031422</v>
      </c>
      <c r="N113" s="32"/>
      <c r="O113" s="32"/>
    </row>
    <row r="114" spans="1:15" x14ac:dyDescent="0.4">
      <c r="A114" s="37" t="s">
        <v>371</v>
      </c>
      <c r="B114" s="37"/>
      <c r="C114" s="31" t="s">
        <v>69</v>
      </c>
      <c r="G114" s="53">
        <f>+G78</f>
        <v>379825.45018002571</v>
      </c>
      <c r="H114" s="53">
        <f>+H78</f>
        <v>68848.155542988767</v>
      </c>
      <c r="I114" s="67">
        <f>+I78</f>
        <v>26524599.855158728</v>
      </c>
      <c r="J114" s="67">
        <f>+J78</f>
        <v>15223431.867463347</v>
      </c>
      <c r="K114" s="67">
        <f>+K78</f>
        <v>4121976.6860600002</v>
      </c>
      <c r="L114" s="64">
        <f t="shared" si="10"/>
        <v>37626055.03656207</v>
      </c>
      <c r="M114" s="64">
        <f t="shared" si="11"/>
        <v>22402623.169098727</v>
      </c>
      <c r="N114" s="32"/>
      <c r="O114" s="32"/>
    </row>
    <row r="115" spans="1:15" x14ac:dyDescent="0.4">
      <c r="A115" s="37" t="s">
        <v>372</v>
      </c>
      <c r="B115" s="37"/>
      <c r="C115" s="31" t="s">
        <v>61</v>
      </c>
      <c r="G115" s="53">
        <f>+G89</f>
        <v>99211.406745718035</v>
      </c>
      <c r="H115" s="53">
        <f>+H89</f>
        <v>94153</v>
      </c>
      <c r="I115" s="67">
        <f>+I89</f>
        <v>8484127.1694331169</v>
      </c>
      <c r="J115" s="67">
        <f>+J89</f>
        <v>4481157.2628238611</v>
      </c>
      <c r="K115" s="67">
        <f>+K89</f>
        <v>36585.304684000002</v>
      </c>
      <c r="L115" s="64">
        <f t="shared" si="10"/>
        <v>12928699.127572978</v>
      </c>
      <c r="M115" s="64">
        <f t="shared" si="11"/>
        <v>8447541.8647491168</v>
      </c>
      <c r="N115" s="32"/>
      <c r="O115" s="32"/>
    </row>
    <row r="116" spans="1:15" x14ac:dyDescent="0.4">
      <c r="A116" s="37" t="s">
        <v>373</v>
      </c>
      <c r="B116" s="37"/>
      <c r="C116" s="31" t="s">
        <v>70</v>
      </c>
      <c r="G116" s="77">
        <v>0</v>
      </c>
      <c r="H116" s="134">
        <v>0</v>
      </c>
      <c r="I116" s="78">
        <f>+G93</f>
        <v>348683331.83000004</v>
      </c>
      <c r="J116" s="77">
        <v>0</v>
      </c>
      <c r="K116" s="78">
        <v>0</v>
      </c>
      <c r="L116" s="79">
        <f>+I116+J116-K116</f>
        <v>348683331.83000004</v>
      </c>
      <c r="M116" s="79">
        <f>+I116-K116</f>
        <v>348683331.83000004</v>
      </c>
      <c r="N116" s="32"/>
      <c r="O116" s="32"/>
    </row>
    <row r="117" spans="1:15" x14ac:dyDescent="0.4">
      <c r="A117" s="37" t="s">
        <v>374</v>
      </c>
      <c r="B117" s="37"/>
      <c r="C117" s="31" t="s">
        <v>71</v>
      </c>
      <c r="G117" s="53">
        <f>+G104</f>
        <v>3451.5</v>
      </c>
      <c r="H117" s="53">
        <f>+H104</f>
        <v>11163</v>
      </c>
      <c r="I117" s="67">
        <f>+I104</f>
        <v>872982.29</v>
      </c>
      <c r="J117" s="67">
        <f>+J104</f>
        <v>528908.93599999999</v>
      </c>
      <c r="K117" s="67">
        <f>+K104</f>
        <v>236709.16</v>
      </c>
      <c r="L117" s="64">
        <f t="shared" si="10"/>
        <v>1165182.0660000001</v>
      </c>
      <c r="M117" s="64">
        <f t="shared" si="11"/>
        <v>636273.13</v>
      </c>
      <c r="N117" s="32"/>
      <c r="O117" s="32"/>
    </row>
    <row r="118" spans="1:15" x14ac:dyDescent="0.4">
      <c r="A118" s="37" t="s">
        <v>185</v>
      </c>
      <c r="B118" s="37"/>
      <c r="C118" s="31" t="s">
        <v>183</v>
      </c>
      <c r="G118" s="53">
        <f>+G6</f>
        <v>0</v>
      </c>
      <c r="H118" s="53">
        <f>+H6</f>
        <v>0</v>
      </c>
      <c r="I118" s="67">
        <f>+I6</f>
        <v>329824999.99000019</v>
      </c>
      <c r="J118" s="67">
        <f>+J6</f>
        <v>0</v>
      </c>
      <c r="K118" s="67">
        <f>+K6</f>
        <v>273349115.98000008</v>
      </c>
      <c r="L118" s="64">
        <f t="shared" si="10"/>
        <v>56475884.01000011</v>
      </c>
      <c r="M118" s="64">
        <f t="shared" si="11"/>
        <v>56475884.01000011</v>
      </c>
      <c r="N118" s="32"/>
      <c r="O118" s="32"/>
    </row>
    <row r="119" spans="1:15" x14ac:dyDescent="0.4">
      <c r="A119" s="37"/>
      <c r="B119" s="37"/>
      <c r="C119" s="31"/>
      <c r="G119" s="57"/>
      <c r="H119" s="57"/>
      <c r="I119" s="44"/>
      <c r="J119" s="44"/>
      <c r="K119" s="44"/>
      <c r="L119" s="44"/>
      <c r="M119" s="32"/>
    </row>
    <row r="120" spans="1:15" x14ac:dyDescent="0.4">
      <c r="A120" s="37" t="s">
        <v>165</v>
      </c>
      <c r="B120" s="27"/>
      <c r="C120" s="31" t="s">
        <v>26</v>
      </c>
      <c r="G120" s="53">
        <f>SUM(G109:G118)</f>
        <v>12679718.676035998</v>
      </c>
      <c r="H120" s="53">
        <f t="shared" ref="H120:M120" si="12">SUM(H109:H118)</f>
        <v>6771054.4376106281</v>
      </c>
      <c r="I120" s="67">
        <f t="shared" si="12"/>
        <v>2215893488.1283288</v>
      </c>
      <c r="J120" s="67">
        <f t="shared" si="12"/>
        <v>418564042.421188</v>
      </c>
      <c r="K120" s="67">
        <f t="shared" si="12"/>
        <v>691861965.14713991</v>
      </c>
      <c r="L120" s="67">
        <f>SUM(L109:L118)</f>
        <v>1942595565.4023767</v>
      </c>
      <c r="M120" s="67">
        <f t="shared" si="12"/>
        <v>1524031522.9811893</v>
      </c>
    </row>
    <row r="121" spans="1:15" x14ac:dyDescent="0.4">
      <c r="A121" s="27"/>
      <c r="B121" s="26"/>
      <c r="C121" s="31"/>
      <c r="G121" s="47"/>
      <c r="H121" s="47"/>
      <c r="I121" s="47"/>
      <c r="J121" s="47"/>
      <c r="K121" s="57"/>
      <c r="L121" s="57"/>
      <c r="M121" s="57"/>
    </row>
    <row r="122" spans="1:15" x14ac:dyDescent="0.4">
      <c r="A122" s="26"/>
      <c r="B122" s="26"/>
      <c r="C122" s="31" t="s">
        <v>375</v>
      </c>
      <c r="D122" s="58"/>
      <c r="E122" s="58"/>
      <c r="F122" s="58"/>
      <c r="G122" s="40">
        <f>SUM('#1-Meritus:#5034-Mt Washington Pediatric'!F121)</f>
        <v>17148098364.309999</v>
      </c>
      <c r="K122" s="32"/>
      <c r="L122" s="32"/>
    </row>
    <row r="123" spans="1:15" x14ac:dyDescent="0.4">
      <c r="A123" s="26"/>
      <c r="B123" s="26"/>
      <c r="D123" s="31"/>
      <c r="E123" s="31"/>
      <c r="F123" s="31"/>
      <c r="I123" s="32"/>
      <c r="K123" s="32"/>
      <c r="N123" s="36"/>
    </row>
    <row r="124" spans="1:15" x14ac:dyDescent="0.4">
      <c r="A124" s="26"/>
      <c r="B124" s="27"/>
      <c r="C124" s="31" t="s">
        <v>376</v>
      </c>
      <c r="D124" s="59"/>
      <c r="E124" s="59"/>
      <c r="F124" s="59"/>
      <c r="G124" s="60">
        <f>L120/G122</f>
        <v>0.11328343960549367</v>
      </c>
      <c r="K124" s="32"/>
      <c r="L124" s="61"/>
      <c r="M124" s="35"/>
      <c r="N124" s="36"/>
    </row>
    <row r="125" spans="1:15" x14ac:dyDescent="0.4">
      <c r="A125" s="27"/>
      <c r="B125" s="27"/>
      <c r="D125" s="31"/>
      <c r="E125" s="31"/>
      <c r="F125" s="31"/>
      <c r="L125" s="31"/>
      <c r="M125" s="35"/>
      <c r="N125" s="36"/>
    </row>
    <row r="126" spans="1:15" x14ac:dyDescent="0.4">
      <c r="A126" s="27"/>
      <c r="B126" s="27"/>
      <c r="C126" s="31" t="s">
        <v>377</v>
      </c>
      <c r="D126" s="62"/>
      <c r="E126" s="62"/>
      <c r="F126" s="62"/>
      <c r="G126" s="60">
        <f>M120/G122</f>
        <v>8.887466648506788E-2</v>
      </c>
      <c r="L126" s="63"/>
      <c r="M126" s="35"/>
      <c r="N126" s="36"/>
    </row>
    <row r="127" spans="1:15" x14ac:dyDescent="0.4">
      <c r="A127" s="27"/>
      <c r="M127" s="35"/>
      <c r="N127" s="35"/>
      <c r="O127" s="36"/>
    </row>
  </sheetData>
  <mergeCells count="9">
    <mergeCell ref="A1:M1"/>
    <mergeCell ref="C35:E35"/>
    <mergeCell ref="C36:E36"/>
    <mergeCell ref="C76:E76"/>
    <mergeCell ref="B18:D18"/>
    <mergeCell ref="B19:D19"/>
    <mergeCell ref="B22:D22"/>
    <mergeCell ref="C33:E33"/>
    <mergeCell ref="C34:E34"/>
  </mergeCells>
  <pageMargins left="0.7" right="0.7" top="0.75" bottom="0.75" header="0.3" footer="0.3"/>
  <pageSetup scale="59" fitToHeight="0" orientation="landscape" r:id="rId1"/>
  <headerFooter>
    <oddFooter>&amp;CAttachment III Page &amp;P</oddFooter>
  </headerFooter>
  <rowBreaks count="2" manualBreakCount="2">
    <brk id="44" max="16383" man="1"/>
    <brk id="8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M156"/>
  <sheetViews>
    <sheetView showGridLines="0" topLeftCell="A139" zoomScale="85" zoomScaleNormal="85" zoomScaleSheetLayoutView="80" workbookViewId="0">
      <selection activeCell="K152" sqref="K152"/>
    </sheetView>
  </sheetViews>
  <sheetFormatPr defaultColWidth="8.71875" defaultRowHeight="18" customHeight="1" x14ac:dyDescent="0.4"/>
  <cols>
    <col min="1" max="1" width="8.38671875" style="93" customWidth="1"/>
    <col min="2" max="2" width="55.44140625" bestFit="1" customWidth="1"/>
    <col min="3" max="3" width="9.5546875" customWidth="1"/>
    <col min="5" max="5" width="12.44140625" customWidth="1"/>
    <col min="6" max="6" width="18.5546875" customWidth="1"/>
    <col min="7" max="7" width="23.5546875" customWidth="1"/>
    <col min="8" max="8" width="17.109375" customWidth="1"/>
    <col min="9" max="9" width="21.109375" customWidth="1"/>
    <col min="10" max="10" width="19.88671875" customWidth="1"/>
    <col min="11" max="11" width="17.5546875" customWidth="1"/>
    <col min="13" max="13" width="8.71875" style="314"/>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40" t="s">
        <v>191</v>
      </c>
      <c r="D5" s="641"/>
      <c r="E5" s="641"/>
      <c r="F5" s="641"/>
      <c r="G5" s="642"/>
    </row>
    <row r="6" spans="1:11" ht="18" customHeight="1" x14ac:dyDescent="0.4">
      <c r="B6" s="1" t="s">
        <v>3</v>
      </c>
      <c r="C6" s="643" t="s">
        <v>529</v>
      </c>
      <c r="D6" s="644"/>
      <c r="E6" s="644"/>
      <c r="F6" s="644"/>
      <c r="G6" s="645"/>
    </row>
    <row r="7" spans="1:11" ht="18" customHeight="1" x14ac:dyDescent="0.4">
      <c r="B7" s="1" t="s">
        <v>4</v>
      </c>
      <c r="C7" s="646">
        <v>2826</v>
      </c>
      <c r="D7" s="647"/>
      <c r="E7" s="647"/>
      <c r="F7" s="647"/>
      <c r="G7" s="648"/>
    </row>
    <row r="8" spans="1:11" ht="18" customHeight="1" x14ac:dyDescent="0.4">
      <c r="C8" s="392"/>
      <c r="D8" s="392"/>
      <c r="E8" s="392"/>
      <c r="F8" s="392"/>
      <c r="G8" s="392"/>
    </row>
    <row r="9" spans="1:11" ht="18" customHeight="1" x14ac:dyDescent="0.4">
      <c r="B9" s="1" t="s">
        <v>1</v>
      </c>
      <c r="C9" s="640" t="s">
        <v>453</v>
      </c>
      <c r="D9" s="641"/>
      <c r="E9" s="641"/>
      <c r="F9" s="641"/>
      <c r="G9" s="642"/>
    </row>
    <row r="10" spans="1:11" ht="18" customHeight="1" x14ac:dyDescent="0.4">
      <c r="B10" s="1" t="s">
        <v>2</v>
      </c>
      <c r="C10" s="649" t="s">
        <v>387</v>
      </c>
      <c r="D10" s="650"/>
      <c r="E10" s="650"/>
      <c r="F10" s="650"/>
      <c r="G10" s="651"/>
    </row>
    <row r="11" spans="1:11" ht="18" customHeight="1" x14ac:dyDescent="0.4">
      <c r="B11" s="1" t="s">
        <v>32</v>
      </c>
      <c r="C11" s="633" t="s">
        <v>386</v>
      </c>
      <c r="D11" s="634"/>
      <c r="E11" s="634"/>
      <c r="F11" s="634"/>
      <c r="G11" s="634"/>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7089365.7599999998</v>
      </c>
      <c r="I18" s="115">
        <v>0</v>
      </c>
      <c r="J18" s="307">
        <v>5875454.75</v>
      </c>
      <c r="K18" s="308">
        <f>(H18+I18)-J18</f>
        <v>1213911.0099999998</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f>7786+788</f>
        <v>8574</v>
      </c>
      <c r="G21" s="306">
        <f>1506+8853</f>
        <v>10359</v>
      </c>
      <c r="H21" s="307">
        <f>425553.33+73308</f>
        <v>498861.33</v>
      </c>
      <c r="I21" s="115">
        <f t="shared" ref="I21:I34" si="0">H21*F$114</f>
        <v>337579.46201099997</v>
      </c>
      <c r="J21" s="307">
        <f>1767.25+2826</f>
        <v>4593.25</v>
      </c>
      <c r="K21" s="308">
        <f t="shared" ref="K21:K34" si="1">(H21+I21)-J21</f>
        <v>831847.54201099998</v>
      </c>
    </row>
    <row r="22" spans="1:11" ht="18" customHeight="1" x14ac:dyDescent="0.4">
      <c r="A22" s="1" t="s">
        <v>76</v>
      </c>
      <c r="B22" t="s">
        <v>6</v>
      </c>
      <c r="F22" s="306">
        <v>72</v>
      </c>
      <c r="G22" s="306">
        <v>62</v>
      </c>
      <c r="H22" s="307">
        <v>2963</v>
      </c>
      <c r="I22" s="115">
        <f t="shared" si="0"/>
        <v>2005.0620999999999</v>
      </c>
      <c r="J22" s="307">
        <v>0</v>
      </c>
      <c r="K22" s="308">
        <f t="shared" si="1"/>
        <v>4968.0621000000001</v>
      </c>
    </row>
    <row r="23" spans="1:11" ht="18" customHeight="1" x14ac:dyDescent="0.4">
      <c r="A23" s="1" t="s">
        <v>77</v>
      </c>
      <c r="B23" t="s">
        <v>43</v>
      </c>
      <c r="F23" s="306"/>
      <c r="G23" s="306"/>
      <c r="H23" s="307"/>
      <c r="I23" s="115">
        <f t="shared" si="0"/>
        <v>0</v>
      </c>
      <c r="J23" s="307"/>
      <c r="K23" s="308">
        <f t="shared" si="1"/>
        <v>0</v>
      </c>
    </row>
    <row r="24" spans="1:11" ht="18" customHeight="1" x14ac:dyDescent="0.4">
      <c r="A24" s="1" t="s">
        <v>78</v>
      </c>
      <c r="B24" t="s">
        <v>44</v>
      </c>
      <c r="F24" s="306"/>
      <c r="G24" s="306"/>
      <c r="H24" s="307"/>
      <c r="I24" s="115">
        <f t="shared" si="0"/>
        <v>0</v>
      </c>
      <c r="J24" s="307"/>
      <c r="K24" s="308">
        <f t="shared" si="1"/>
        <v>0</v>
      </c>
    </row>
    <row r="25" spans="1:11" ht="18" customHeight="1" x14ac:dyDescent="0.4">
      <c r="A25" s="1" t="s">
        <v>79</v>
      </c>
      <c r="B25" t="s">
        <v>5</v>
      </c>
      <c r="F25" s="306">
        <v>636.29999999999995</v>
      </c>
      <c r="G25" s="306">
        <v>303</v>
      </c>
      <c r="H25" s="307">
        <v>25180</v>
      </c>
      <c r="I25" s="115">
        <f t="shared" si="0"/>
        <v>17039.306</v>
      </c>
      <c r="J25" s="307">
        <v>35000</v>
      </c>
      <c r="K25" s="308">
        <f t="shared" si="1"/>
        <v>7219.3059999999969</v>
      </c>
    </row>
    <row r="26" spans="1:11" ht="18" customHeight="1" x14ac:dyDescent="0.4">
      <c r="A26" s="1" t="s">
        <v>80</v>
      </c>
      <c r="B26" t="s">
        <v>45</v>
      </c>
      <c r="F26" s="306"/>
      <c r="G26" s="306"/>
      <c r="H26" s="307"/>
      <c r="I26" s="115">
        <f t="shared" si="0"/>
        <v>0</v>
      </c>
      <c r="J26" s="307"/>
      <c r="K26" s="308">
        <f t="shared" si="1"/>
        <v>0</v>
      </c>
    </row>
    <row r="27" spans="1:11" ht="18" customHeight="1" x14ac:dyDescent="0.4">
      <c r="A27" s="1" t="s">
        <v>81</v>
      </c>
      <c r="B27" t="s">
        <v>455</v>
      </c>
      <c r="F27" s="306"/>
      <c r="G27" s="306"/>
      <c r="H27" s="307"/>
      <c r="I27" s="115">
        <f t="shared" si="0"/>
        <v>0</v>
      </c>
      <c r="J27" s="307"/>
      <c r="K27" s="308">
        <f t="shared" si="1"/>
        <v>0</v>
      </c>
    </row>
    <row r="28" spans="1:11" ht="18" customHeight="1" x14ac:dyDescent="0.4">
      <c r="A28" s="1" t="s">
        <v>82</v>
      </c>
      <c r="B28" t="s">
        <v>47</v>
      </c>
      <c r="F28" s="306"/>
      <c r="G28" s="306"/>
      <c r="H28" s="307"/>
      <c r="I28" s="115">
        <f t="shared" si="0"/>
        <v>0</v>
      </c>
      <c r="J28" s="307"/>
      <c r="K28" s="308">
        <f t="shared" si="1"/>
        <v>0</v>
      </c>
    </row>
    <row r="29" spans="1:11" ht="18" customHeight="1" x14ac:dyDescent="0.4">
      <c r="A29" s="1" t="s">
        <v>83</v>
      </c>
      <c r="B29" t="s">
        <v>48</v>
      </c>
      <c r="F29" s="306">
        <v>19053.3</v>
      </c>
      <c r="G29" s="306">
        <v>44158</v>
      </c>
      <c r="H29" s="307">
        <v>1097997</v>
      </c>
      <c r="I29" s="115">
        <f t="shared" si="0"/>
        <v>743014.5699</v>
      </c>
      <c r="J29" s="307">
        <v>0</v>
      </c>
      <c r="K29" s="308">
        <f t="shared" si="1"/>
        <v>1841011.5699</v>
      </c>
    </row>
    <row r="30" spans="1:11" ht="18" customHeight="1" x14ac:dyDescent="0.4">
      <c r="A30" s="1" t="s">
        <v>84</v>
      </c>
      <c r="B30" s="630" t="s">
        <v>655</v>
      </c>
      <c r="C30" s="631"/>
      <c r="D30" s="632"/>
      <c r="F30" s="306">
        <v>0</v>
      </c>
      <c r="G30" s="306">
        <v>397</v>
      </c>
      <c r="H30" s="307">
        <v>140</v>
      </c>
      <c r="I30" s="115">
        <f t="shared" si="0"/>
        <v>94.738</v>
      </c>
      <c r="J30" s="307">
        <v>0</v>
      </c>
      <c r="K30" s="308">
        <f t="shared" si="1"/>
        <v>234.738</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28335.599999999999</v>
      </c>
      <c r="G36" s="310">
        <f t="shared" si="2"/>
        <v>55279</v>
      </c>
      <c r="H36" s="310">
        <f t="shared" si="2"/>
        <v>1625141.33</v>
      </c>
      <c r="I36" s="308">
        <f t="shared" si="2"/>
        <v>1099733.1380109999</v>
      </c>
      <c r="J36" s="308">
        <f t="shared" si="2"/>
        <v>39593.25</v>
      </c>
      <c r="K36" s="308">
        <f t="shared" si="2"/>
        <v>2685281.2180109997</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f>21065.2+6.5</f>
        <v>21071.7</v>
      </c>
      <c r="G40" s="306"/>
      <c r="H40" s="307">
        <f>2265578.68+258</f>
        <v>2265836.6800000002</v>
      </c>
      <c r="I40" s="115">
        <v>255465</v>
      </c>
      <c r="J40" s="307">
        <v>267174</v>
      </c>
      <c r="K40" s="308">
        <f t="shared" ref="K40:K47" si="3">(H40+I40)-J40</f>
        <v>2254127.6800000002</v>
      </c>
    </row>
    <row r="41" spans="1:11" ht="18" customHeight="1" x14ac:dyDescent="0.4">
      <c r="A41" s="1" t="s">
        <v>88</v>
      </c>
      <c r="B41" s="635" t="s">
        <v>50</v>
      </c>
      <c r="C41" s="636"/>
      <c r="F41" s="306">
        <v>1351</v>
      </c>
      <c r="G41" s="306">
        <v>2870</v>
      </c>
      <c r="H41" s="307">
        <v>53706</v>
      </c>
      <c r="I41" s="115">
        <v>0</v>
      </c>
      <c r="J41" s="307">
        <v>0</v>
      </c>
      <c r="K41" s="308">
        <f t="shared" si="3"/>
        <v>53706</v>
      </c>
    </row>
    <row r="42" spans="1:11" ht="18" customHeight="1" x14ac:dyDescent="0.4">
      <c r="A42" s="1" t="s">
        <v>89</v>
      </c>
      <c r="B42" s="94" t="s">
        <v>11</v>
      </c>
      <c r="F42" s="306">
        <v>3231</v>
      </c>
      <c r="G42" s="306">
        <v>7679</v>
      </c>
      <c r="H42" s="307">
        <v>117064</v>
      </c>
      <c r="I42" s="115">
        <v>0</v>
      </c>
      <c r="J42" s="307">
        <v>3280</v>
      </c>
      <c r="K42" s="308">
        <f t="shared" si="3"/>
        <v>113784</v>
      </c>
    </row>
    <row r="43" spans="1:11" ht="18" customHeight="1" x14ac:dyDescent="0.4">
      <c r="A43" s="1" t="s">
        <v>90</v>
      </c>
      <c r="B43" s="94" t="s">
        <v>10</v>
      </c>
      <c r="F43" s="306"/>
      <c r="G43" s="306"/>
      <c r="H43" s="307"/>
      <c r="I43" s="115">
        <v>0</v>
      </c>
      <c r="J43" s="307"/>
      <c r="K43" s="308">
        <f t="shared" si="3"/>
        <v>0</v>
      </c>
    </row>
    <row r="44" spans="1:11" ht="18" customHeight="1" x14ac:dyDescent="0.4">
      <c r="A44" s="1" t="s">
        <v>91</v>
      </c>
      <c r="B44" s="630"/>
      <c r="C44" s="631"/>
      <c r="D44" s="632"/>
      <c r="F44" s="311"/>
      <c r="G44" s="311"/>
      <c r="H44" s="311"/>
      <c r="I44" s="116">
        <v>0</v>
      </c>
      <c r="J44" s="311"/>
      <c r="K44" s="353">
        <f t="shared" si="3"/>
        <v>0</v>
      </c>
    </row>
    <row r="45" spans="1:11" ht="18" customHeight="1" x14ac:dyDescent="0.4">
      <c r="A45" s="1" t="s">
        <v>139</v>
      </c>
      <c r="B45" s="630"/>
      <c r="C45" s="631"/>
      <c r="D45" s="632"/>
      <c r="F45" s="306"/>
      <c r="G45" s="306"/>
      <c r="H45" s="307"/>
      <c r="I45" s="115">
        <v>0</v>
      </c>
      <c r="J45" s="307"/>
      <c r="K45" s="308">
        <f t="shared" si="3"/>
        <v>0</v>
      </c>
    </row>
    <row r="46" spans="1:11" ht="18" customHeight="1" x14ac:dyDescent="0.4">
      <c r="A46" s="1" t="s">
        <v>140</v>
      </c>
      <c r="B46" s="630"/>
      <c r="C46" s="631"/>
      <c r="D46" s="632"/>
      <c r="F46" s="306"/>
      <c r="G46" s="306"/>
      <c r="H46" s="307"/>
      <c r="I46" s="115">
        <v>0</v>
      </c>
      <c r="J46" s="307"/>
      <c r="K46" s="308">
        <f t="shared" si="3"/>
        <v>0</v>
      </c>
    </row>
    <row r="47" spans="1:11" ht="18" customHeight="1" x14ac:dyDescent="0.4">
      <c r="A47" s="1" t="s">
        <v>141</v>
      </c>
      <c r="B47" s="630"/>
      <c r="C47" s="631"/>
      <c r="D47" s="632"/>
      <c r="F47" s="306"/>
      <c r="G47" s="306"/>
      <c r="H47" s="307"/>
      <c r="I47" s="115">
        <v>0</v>
      </c>
      <c r="J47" s="307"/>
      <c r="K47" s="308">
        <f t="shared" si="3"/>
        <v>0</v>
      </c>
    </row>
    <row r="49" spans="1:11" ht="18" customHeight="1" x14ac:dyDescent="0.4">
      <c r="A49" s="98" t="s">
        <v>142</v>
      </c>
      <c r="B49" s="95" t="s">
        <v>143</v>
      </c>
      <c r="E49" s="95" t="s">
        <v>7</v>
      </c>
      <c r="F49" s="312">
        <f t="shared" ref="F49:K49" si="4">SUM(F40:F47)</f>
        <v>25653.7</v>
      </c>
      <c r="G49" s="312">
        <f t="shared" si="4"/>
        <v>10549</v>
      </c>
      <c r="H49" s="308">
        <f t="shared" si="4"/>
        <v>2436606.6800000002</v>
      </c>
      <c r="I49" s="308">
        <f t="shared" si="4"/>
        <v>255465</v>
      </c>
      <c r="J49" s="308">
        <f t="shared" si="4"/>
        <v>270454</v>
      </c>
      <c r="K49" s="308">
        <f t="shared" si="4"/>
        <v>2421617.6800000002</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4">
      <c r="A53" s="1" t="s">
        <v>51</v>
      </c>
      <c r="B53" s="658" t="s">
        <v>309</v>
      </c>
      <c r="C53" s="659"/>
      <c r="D53" s="654"/>
      <c r="F53" s="306">
        <v>1706.7</v>
      </c>
      <c r="G53" s="306"/>
      <c r="H53" s="307">
        <v>46035.3</v>
      </c>
      <c r="I53" s="115">
        <v>0</v>
      </c>
      <c r="J53" s="307"/>
      <c r="K53" s="308">
        <f t="shared" ref="K53:K62" si="5">(H53+I53)-J53</f>
        <v>46035.3</v>
      </c>
    </row>
    <row r="54" spans="1:11" ht="18" customHeight="1" x14ac:dyDescent="0.4">
      <c r="A54" s="1" t="s">
        <v>93</v>
      </c>
      <c r="B54" s="400" t="s">
        <v>656</v>
      </c>
      <c r="C54" s="401"/>
      <c r="D54" s="402"/>
      <c r="F54" s="306"/>
      <c r="G54" s="306"/>
      <c r="H54" s="307">
        <v>7342237.2999999998</v>
      </c>
      <c r="I54" s="115">
        <f>H54*F114</f>
        <v>4968491.9809099995</v>
      </c>
      <c r="J54" s="307"/>
      <c r="K54" s="308">
        <f t="shared" si="5"/>
        <v>12310729.28091</v>
      </c>
    </row>
    <row r="55" spans="1:11" ht="18" customHeight="1" x14ac:dyDescent="0.4">
      <c r="A55" s="1" t="s">
        <v>94</v>
      </c>
      <c r="B55" s="655" t="s">
        <v>454</v>
      </c>
      <c r="C55" s="653"/>
      <c r="D55" s="654"/>
      <c r="F55" s="306">
        <v>4712.5</v>
      </c>
      <c r="G55" s="306">
        <v>1961</v>
      </c>
      <c r="H55" s="307">
        <v>5918383.6699999999</v>
      </c>
      <c r="I55" s="115">
        <v>0</v>
      </c>
      <c r="J55" s="307">
        <v>2870606.92</v>
      </c>
      <c r="K55" s="308">
        <f t="shared" si="5"/>
        <v>3047776.75</v>
      </c>
    </row>
    <row r="56" spans="1:11" ht="18" customHeight="1" x14ac:dyDescent="0.4">
      <c r="A56" s="1" t="s">
        <v>95</v>
      </c>
      <c r="B56" s="655" t="s">
        <v>657</v>
      </c>
      <c r="C56" s="653"/>
      <c r="D56" s="654"/>
      <c r="F56" s="306"/>
      <c r="G56" s="306">
        <v>12</v>
      </c>
      <c r="H56" s="307">
        <v>23641.68</v>
      </c>
      <c r="I56" s="115">
        <v>0</v>
      </c>
      <c r="J56" s="307"/>
      <c r="K56" s="308">
        <f t="shared" si="5"/>
        <v>23641.68</v>
      </c>
    </row>
    <row r="57" spans="1:11" ht="18" customHeight="1" x14ac:dyDescent="0.4">
      <c r="A57" s="1" t="s">
        <v>96</v>
      </c>
      <c r="B57" s="655" t="s">
        <v>598</v>
      </c>
      <c r="C57" s="653"/>
      <c r="D57" s="654"/>
      <c r="F57" s="306">
        <v>32961.4</v>
      </c>
      <c r="G57" s="306">
        <v>16686</v>
      </c>
      <c r="H57" s="307">
        <v>3559405.96</v>
      </c>
      <c r="I57" s="115">
        <v>499042.05</v>
      </c>
      <c r="J57" s="307">
        <v>1448043.73</v>
      </c>
      <c r="K57" s="308">
        <f t="shared" si="5"/>
        <v>2610404.2799999998</v>
      </c>
    </row>
    <row r="58" spans="1:11" ht="18" customHeight="1" x14ac:dyDescent="0.4">
      <c r="A58" s="1" t="s">
        <v>97</v>
      </c>
      <c r="B58" s="400" t="s">
        <v>658</v>
      </c>
      <c r="C58" s="401"/>
      <c r="D58" s="402"/>
      <c r="F58" s="306"/>
      <c r="G58" s="306"/>
      <c r="H58" s="307">
        <v>4270812.7300000004</v>
      </c>
      <c r="I58" s="115">
        <f>H58*F114</f>
        <v>2890058.9743910003</v>
      </c>
      <c r="J58" s="307"/>
      <c r="K58" s="308">
        <f t="shared" si="5"/>
        <v>7160871.7043910008</v>
      </c>
    </row>
    <row r="59" spans="1:11" ht="18" customHeight="1" x14ac:dyDescent="0.4">
      <c r="A59" s="1" t="s">
        <v>98</v>
      </c>
      <c r="B59" s="655"/>
      <c r="C59" s="653"/>
      <c r="D59" s="654"/>
      <c r="F59" s="306"/>
      <c r="G59" s="306"/>
      <c r="H59" s="307"/>
      <c r="I59" s="115">
        <v>0</v>
      </c>
      <c r="J59" s="307"/>
      <c r="K59" s="308">
        <f t="shared" si="5"/>
        <v>0</v>
      </c>
    </row>
    <row r="60" spans="1:11" ht="18" customHeight="1" x14ac:dyDescent="0.4">
      <c r="A60" s="1" t="s">
        <v>99</v>
      </c>
      <c r="B60" s="400" t="s">
        <v>599</v>
      </c>
      <c r="C60" s="401"/>
      <c r="D60" s="402"/>
      <c r="F60" s="306">
        <v>54628.5</v>
      </c>
      <c r="G60" s="306">
        <v>24611</v>
      </c>
      <c r="H60" s="307">
        <v>4048791.29</v>
      </c>
      <c r="I60" s="115">
        <v>455034</v>
      </c>
      <c r="J60" s="307">
        <v>3109168.4</v>
      </c>
      <c r="K60" s="308">
        <f t="shared" si="5"/>
        <v>1394656.8900000001</v>
      </c>
    </row>
    <row r="61" spans="1:11" ht="18" customHeight="1" x14ac:dyDescent="0.4">
      <c r="A61" s="1" t="s">
        <v>100</v>
      </c>
      <c r="B61" s="400" t="s">
        <v>600</v>
      </c>
      <c r="C61" s="401"/>
      <c r="D61" s="402"/>
      <c r="F61" s="306">
        <v>521349.4</v>
      </c>
      <c r="G61" s="306">
        <v>188474</v>
      </c>
      <c r="H61" s="307">
        <v>42559667.789999999</v>
      </c>
      <c r="I61" s="115">
        <v>5767628.2000000002</v>
      </c>
      <c r="J61" s="307">
        <v>30096662.079999998</v>
      </c>
      <c r="K61" s="308">
        <f t="shared" si="5"/>
        <v>18230633.910000004</v>
      </c>
    </row>
    <row r="62" spans="1:11" ht="18" customHeight="1" x14ac:dyDescent="0.4">
      <c r="A62" s="1" t="s">
        <v>101</v>
      </c>
      <c r="B62" s="652"/>
      <c r="C62" s="653"/>
      <c r="D62" s="654"/>
      <c r="F62" s="306"/>
      <c r="G62" s="306"/>
      <c r="H62" s="307"/>
      <c r="I62" s="115">
        <v>0</v>
      </c>
      <c r="J62" s="307"/>
      <c r="K62" s="308">
        <f t="shared" si="5"/>
        <v>0</v>
      </c>
    </row>
    <row r="63" spans="1:11" ht="18" customHeight="1" x14ac:dyDescent="0.4">
      <c r="A63" s="1"/>
      <c r="I63" s="403"/>
    </row>
    <row r="64" spans="1:11" ht="18" customHeight="1" x14ac:dyDescent="0.4">
      <c r="A64" s="1" t="s">
        <v>144</v>
      </c>
      <c r="B64" s="95" t="s">
        <v>145</v>
      </c>
      <c r="E64" s="95" t="s">
        <v>7</v>
      </c>
      <c r="F64" s="310">
        <f t="shared" ref="F64:J64" si="6">SUM(F53:F62)</f>
        <v>615358.5</v>
      </c>
      <c r="G64" s="310">
        <f t="shared" si="6"/>
        <v>231744</v>
      </c>
      <c r="H64" s="308">
        <f t="shared" si="6"/>
        <v>67768975.719999999</v>
      </c>
      <c r="I64" s="308">
        <f t="shared" si="6"/>
        <v>14580255.205300998</v>
      </c>
      <c r="J64" s="308">
        <f t="shared" si="6"/>
        <v>37524481.129999995</v>
      </c>
      <c r="K64" s="308">
        <f>SUM(K53:K62)</f>
        <v>44824749.795301005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07"/>
      <c r="I68" s="115">
        <v>0</v>
      </c>
      <c r="J68" s="307"/>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7">SUM(F68:F72)</f>
        <v>0</v>
      </c>
      <c r="G74" s="411">
        <f t="shared" si="7"/>
        <v>0</v>
      </c>
      <c r="H74" s="411">
        <f t="shared" si="7"/>
        <v>0</v>
      </c>
      <c r="I74" s="412">
        <f t="shared" si="7"/>
        <v>0</v>
      </c>
      <c r="J74" s="411">
        <f t="shared" si="7"/>
        <v>0</v>
      </c>
      <c r="K74" s="308">
        <f t="shared" si="7"/>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c r="G77" s="306"/>
      <c r="H77" s="307">
        <v>71737</v>
      </c>
      <c r="I77" s="115">
        <v>0</v>
      </c>
      <c r="J77" s="307">
        <v>4515</v>
      </c>
      <c r="K77" s="308">
        <f>(H77+I77)-J77</f>
        <v>67222</v>
      </c>
    </row>
    <row r="78" spans="1:11" ht="18" customHeight="1" x14ac:dyDescent="0.4">
      <c r="A78" s="1" t="s">
        <v>108</v>
      </c>
      <c r="B78" s="94" t="s">
        <v>55</v>
      </c>
      <c r="F78" s="306">
        <v>2551.6999999999998</v>
      </c>
      <c r="G78" s="306">
        <v>164</v>
      </c>
      <c r="H78" s="307">
        <v>378692.58</v>
      </c>
      <c r="I78" s="115">
        <v>0</v>
      </c>
      <c r="J78" s="307">
        <v>14505.06</v>
      </c>
      <c r="K78" s="308">
        <f>(H78+I78)-J78</f>
        <v>364187.52</v>
      </c>
    </row>
    <row r="79" spans="1:11" ht="18" customHeight="1" x14ac:dyDescent="0.4">
      <c r="A79" s="1" t="s">
        <v>109</v>
      </c>
      <c r="B79" s="94" t="s">
        <v>13</v>
      </c>
      <c r="F79" s="306">
        <v>182.8</v>
      </c>
      <c r="G79" s="306">
        <v>932</v>
      </c>
      <c r="H79" s="307">
        <f>4872.25+42079</f>
        <v>46951.25</v>
      </c>
      <c r="I79" s="115">
        <v>0</v>
      </c>
      <c r="J79" s="307">
        <v>2538</v>
      </c>
      <c r="K79" s="308">
        <f>(H79+I79)-J79</f>
        <v>44413.25</v>
      </c>
    </row>
    <row r="80" spans="1:11" ht="18" customHeight="1" x14ac:dyDescent="0.4">
      <c r="A80" s="1" t="s">
        <v>110</v>
      </c>
      <c r="B80" s="94" t="s">
        <v>56</v>
      </c>
      <c r="F80" s="306"/>
      <c r="G80" s="306"/>
      <c r="H80" s="307"/>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8">SUM(F77:F80)</f>
        <v>2734.5</v>
      </c>
      <c r="G82" s="411">
        <f t="shared" si="8"/>
        <v>1096</v>
      </c>
      <c r="H82" s="308">
        <f t="shared" si="8"/>
        <v>497380.83</v>
      </c>
      <c r="I82" s="308">
        <f t="shared" si="8"/>
        <v>0</v>
      </c>
      <c r="J82" s="308">
        <f t="shared" si="8"/>
        <v>21558.059999999998</v>
      </c>
      <c r="K82" s="308">
        <f t="shared" si="8"/>
        <v>475822.77</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06"/>
      <c r="G86" s="306"/>
      <c r="H86" s="307"/>
      <c r="I86" s="115">
        <f t="shared" ref="I86:I96" si="9">H86*F$114</f>
        <v>0</v>
      </c>
      <c r="J86" s="307"/>
      <c r="K86" s="308">
        <f t="shared" ref="K86:K96" si="10">(H86+I86)-J86</f>
        <v>0</v>
      </c>
    </row>
    <row r="87" spans="1:11" ht="18" customHeight="1" x14ac:dyDescent="0.4">
      <c r="A87" s="1" t="s">
        <v>114</v>
      </c>
      <c r="B87" s="94" t="s">
        <v>14</v>
      </c>
      <c r="F87" s="306"/>
      <c r="G87" s="306"/>
      <c r="H87" s="307"/>
      <c r="I87" s="115">
        <f t="shared" si="9"/>
        <v>0</v>
      </c>
      <c r="J87" s="307"/>
      <c r="K87" s="308">
        <f t="shared" si="10"/>
        <v>0</v>
      </c>
    </row>
    <row r="88" spans="1:11" ht="18" customHeight="1" x14ac:dyDescent="0.4">
      <c r="A88" s="1" t="s">
        <v>115</v>
      </c>
      <c r="B88" s="94" t="s">
        <v>116</v>
      </c>
      <c r="F88" s="306"/>
      <c r="G88" s="306"/>
      <c r="H88" s="307">
        <v>400</v>
      </c>
      <c r="I88" s="115">
        <f t="shared" si="9"/>
        <v>270.68</v>
      </c>
      <c r="J88" s="307"/>
      <c r="K88" s="308">
        <f t="shared" si="10"/>
        <v>670.68000000000006</v>
      </c>
    </row>
    <row r="89" spans="1:11" ht="18" customHeight="1" x14ac:dyDescent="0.4">
      <c r="A89" s="1" t="s">
        <v>117</v>
      </c>
      <c r="B89" s="94" t="s">
        <v>58</v>
      </c>
      <c r="F89" s="306"/>
      <c r="G89" s="306"/>
      <c r="H89" s="307"/>
      <c r="I89" s="115">
        <f t="shared" si="9"/>
        <v>0</v>
      </c>
      <c r="J89" s="307"/>
      <c r="K89" s="308">
        <f t="shared" si="10"/>
        <v>0</v>
      </c>
    </row>
    <row r="90" spans="1:11" ht="18" customHeight="1" x14ac:dyDescent="0.4">
      <c r="A90" s="1" t="s">
        <v>118</v>
      </c>
      <c r="B90" s="635" t="s">
        <v>59</v>
      </c>
      <c r="C90" s="636"/>
      <c r="F90" s="306"/>
      <c r="G90" s="306"/>
      <c r="H90" s="307">
        <v>3140</v>
      </c>
      <c r="I90" s="115">
        <f t="shared" si="9"/>
        <v>2124.8379999999997</v>
      </c>
      <c r="J90" s="307"/>
      <c r="K90" s="308">
        <f t="shared" si="10"/>
        <v>5264.8379999999997</v>
      </c>
    </row>
    <row r="91" spans="1:11" ht="18" customHeight="1" x14ac:dyDescent="0.4">
      <c r="A91" s="1" t="s">
        <v>119</v>
      </c>
      <c r="B91" s="94" t="s">
        <v>60</v>
      </c>
      <c r="F91" s="306">
        <v>111</v>
      </c>
      <c r="G91" s="306">
        <v>95</v>
      </c>
      <c r="H91" s="307">
        <v>4404</v>
      </c>
      <c r="I91" s="115">
        <f t="shared" si="9"/>
        <v>2980.1867999999999</v>
      </c>
      <c r="J91" s="307">
        <v>0</v>
      </c>
      <c r="K91" s="308">
        <f t="shared" si="10"/>
        <v>7384.1867999999995</v>
      </c>
    </row>
    <row r="92" spans="1:11" ht="18" customHeight="1" x14ac:dyDescent="0.4">
      <c r="A92" s="1" t="s">
        <v>120</v>
      </c>
      <c r="B92" s="94" t="s">
        <v>121</v>
      </c>
      <c r="F92" s="107"/>
      <c r="G92" s="107"/>
      <c r="H92" s="108"/>
      <c r="I92" s="115">
        <f t="shared" si="9"/>
        <v>0</v>
      </c>
      <c r="J92" s="108"/>
      <c r="K92" s="308">
        <f t="shared" si="10"/>
        <v>0</v>
      </c>
    </row>
    <row r="93" spans="1:11" ht="18" customHeight="1" x14ac:dyDescent="0.4">
      <c r="A93" s="1" t="s">
        <v>122</v>
      </c>
      <c r="B93" s="94" t="s">
        <v>123</v>
      </c>
      <c r="F93" s="306"/>
      <c r="G93" s="306"/>
      <c r="H93" s="307"/>
      <c r="I93" s="115">
        <f t="shared" si="9"/>
        <v>0</v>
      </c>
      <c r="J93" s="307"/>
      <c r="K93" s="308">
        <f t="shared" si="10"/>
        <v>0</v>
      </c>
    </row>
    <row r="94" spans="1:11" ht="18" customHeight="1" x14ac:dyDescent="0.4">
      <c r="A94" s="1" t="s">
        <v>124</v>
      </c>
      <c r="B94" s="655"/>
      <c r="C94" s="653"/>
      <c r="D94" s="654"/>
      <c r="F94" s="306"/>
      <c r="G94" s="306"/>
      <c r="H94" s="307"/>
      <c r="I94" s="115">
        <f t="shared" si="9"/>
        <v>0</v>
      </c>
      <c r="J94" s="307"/>
      <c r="K94" s="308">
        <f t="shared" si="10"/>
        <v>0</v>
      </c>
    </row>
    <row r="95" spans="1:11" ht="18" customHeight="1" x14ac:dyDescent="0.4">
      <c r="A95" s="1" t="s">
        <v>125</v>
      </c>
      <c r="B95" s="655"/>
      <c r="C95" s="653"/>
      <c r="D95" s="654"/>
      <c r="F95" s="306"/>
      <c r="G95" s="306"/>
      <c r="H95" s="307"/>
      <c r="I95" s="115">
        <f t="shared" si="9"/>
        <v>0</v>
      </c>
      <c r="J95" s="307"/>
      <c r="K95" s="308">
        <f t="shared" si="10"/>
        <v>0</v>
      </c>
    </row>
    <row r="96" spans="1:11" ht="18" customHeight="1" x14ac:dyDescent="0.4">
      <c r="A96" s="1" t="s">
        <v>126</v>
      </c>
      <c r="B96" s="655"/>
      <c r="C96" s="653"/>
      <c r="D96" s="654"/>
      <c r="F96" s="306"/>
      <c r="G96" s="306"/>
      <c r="H96" s="307"/>
      <c r="I96" s="115">
        <f t="shared" si="9"/>
        <v>0</v>
      </c>
      <c r="J96" s="307"/>
      <c r="K96" s="308">
        <f t="shared" si="10"/>
        <v>0</v>
      </c>
    </row>
    <row r="97" spans="1:11" ht="18" customHeight="1" x14ac:dyDescent="0.4">
      <c r="A97" s="1"/>
      <c r="B97" s="94"/>
    </row>
    <row r="98" spans="1:11" ht="18" customHeight="1" x14ac:dyDescent="0.4">
      <c r="A98" s="98" t="s">
        <v>150</v>
      </c>
      <c r="B98" s="95" t="s">
        <v>151</v>
      </c>
      <c r="E98" s="95" t="s">
        <v>7</v>
      </c>
      <c r="F98" s="310">
        <f t="shared" ref="F98:K98" si="11">SUM(F86:F96)</f>
        <v>111</v>
      </c>
      <c r="G98" s="310">
        <f t="shared" si="11"/>
        <v>95</v>
      </c>
      <c r="H98" s="310">
        <f t="shared" si="11"/>
        <v>7944</v>
      </c>
      <c r="I98" s="310">
        <f t="shared" si="11"/>
        <v>5375.7047999999995</v>
      </c>
      <c r="J98" s="310">
        <f t="shared" si="11"/>
        <v>0</v>
      </c>
      <c r="K98" s="310">
        <f t="shared" si="11"/>
        <v>13319.7048</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row>
    <row r="102" spans="1:11" ht="18" customHeight="1" x14ac:dyDescent="0.4">
      <c r="A102" s="1" t="s">
        <v>131</v>
      </c>
      <c r="B102" s="94" t="s">
        <v>152</v>
      </c>
      <c r="F102" s="306">
        <v>318.8</v>
      </c>
      <c r="G102" s="306">
        <v>16</v>
      </c>
      <c r="H102" s="307">
        <v>12693</v>
      </c>
      <c r="I102" s="115">
        <f>H102*F$114</f>
        <v>8589.3531000000003</v>
      </c>
      <c r="J102" s="307">
        <v>0</v>
      </c>
      <c r="K102" s="308">
        <f>(H102+I102)-J102</f>
        <v>21282.3531</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2">SUM(F102:F106)</f>
        <v>318.8</v>
      </c>
      <c r="G108" s="310">
        <f t="shared" si="12"/>
        <v>16</v>
      </c>
      <c r="H108" s="308">
        <f t="shared" si="12"/>
        <v>12693</v>
      </c>
      <c r="I108" s="308">
        <f t="shared" si="12"/>
        <v>8589.3531000000003</v>
      </c>
      <c r="J108" s="308">
        <f t="shared" si="12"/>
        <v>0</v>
      </c>
      <c r="K108" s="308">
        <f t="shared" si="12"/>
        <v>21282.3531</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5453564.2300000004</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0.67669999999999997</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367970401</v>
      </c>
    </row>
    <row r="118" spans="1:6" ht="18" customHeight="1" x14ac:dyDescent="0.4">
      <c r="A118" s="1" t="s">
        <v>173</v>
      </c>
      <c r="B118" t="s">
        <v>18</v>
      </c>
      <c r="F118" s="307">
        <v>22964364</v>
      </c>
    </row>
    <row r="119" spans="1:6" ht="18" customHeight="1" x14ac:dyDescent="0.4">
      <c r="A119" s="1" t="s">
        <v>174</v>
      </c>
      <c r="B119" s="95" t="s">
        <v>19</v>
      </c>
      <c r="F119" s="308">
        <f>SUM(F117:F118)</f>
        <v>390934765</v>
      </c>
    </row>
    <row r="120" spans="1:6" ht="18" customHeight="1" x14ac:dyDescent="0.4">
      <c r="A120" s="1"/>
      <c r="B120" s="95"/>
    </row>
    <row r="121" spans="1:6" ht="18" customHeight="1" x14ac:dyDescent="0.4">
      <c r="A121" s="1" t="s">
        <v>167</v>
      </c>
      <c r="B121" s="95" t="s">
        <v>36</v>
      </c>
      <c r="F121" s="307">
        <v>399338982</v>
      </c>
    </row>
    <row r="122" spans="1:6" ht="18" customHeight="1" x14ac:dyDescent="0.4">
      <c r="A122" s="1"/>
    </row>
    <row r="123" spans="1:6" ht="18" customHeight="1" x14ac:dyDescent="0.4">
      <c r="A123" s="1" t="s">
        <v>175</v>
      </c>
      <c r="B123" s="95" t="s">
        <v>20</v>
      </c>
      <c r="F123" s="307">
        <f>F119-F121</f>
        <v>-8404217</v>
      </c>
    </row>
    <row r="124" spans="1:6" ht="18" customHeight="1" x14ac:dyDescent="0.4">
      <c r="A124" s="1"/>
    </row>
    <row r="125" spans="1:6" ht="18" customHeight="1" x14ac:dyDescent="0.4">
      <c r="A125" s="1" t="s">
        <v>176</v>
      </c>
      <c r="B125" s="95" t="s">
        <v>21</v>
      </c>
      <c r="F125" s="307">
        <v>8916761</v>
      </c>
    </row>
    <row r="126" spans="1:6" ht="18" customHeight="1" x14ac:dyDescent="0.4">
      <c r="A126" s="1"/>
    </row>
    <row r="127" spans="1:6" ht="18" customHeight="1" x14ac:dyDescent="0.4">
      <c r="A127" s="1" t="s">
        <v>177</v>
      </c>
      <c r="B127" s="95" t="s">
        <v>22</v>
      </c>
      <c r="F127" s="307">
        <f>F123+F125</f>
        <v>512544</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3">SUM(F131:F135)</f>
        <v>0</v>
      </c>
      <c r="G137" s="310">
        <f t="shared" si="13"/>
        <v>0</v>
      </c>
      <c r="H137" s="308">
        <f t="shared" si="13"/>
        <v>0</v>
      </c>
      <c r="I137" s="308">
        <f t="shared" si="13"/>
        <v>0</v>
      </c>
      <c r="J137" s="308">
        <f t="shared" si="13"/>
        <v>0</v>
      </c>
      <c r="K137" s="308">
        <f t="shared" si="13"/>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4">F36</f>
        <v>28335.599999999999</v>
      </c>
      <c r="G141" s="109">
        <f t="shared" si="14"/>
        <v>55279</v>
      </c>
      <c r="H141" s="109">
        <f t="shared" si="14"/>
        <v>1625141.33</v>
      </c>
      <c r="I141" s="109">
        <f t="shared" si="14"/>
        <v>1099733.1380109999</v>
      </c>
      <c r="J141" s="109">
        <f t="shared" si="14"/>
        <v>39593.25</v>
      </c>
      <c r="K141" s="109">
        <f t="shared" si="14"/>
        <v>2685281.2180109997</v>
      </c>
    </row>
    <row r="142" spans="1:11" ht="18" customHeight="1" x14ac:dyDescent="0.4">
      <c r="A142" s="1" t="s">
        <v>142</v>
      </c>
      <c r="B142" s="95" t="s">
        <v>65</v>
      </c>
      <c r="F142" s="109">
        <f t="shared" ref="F142:K142" si="15">F49</f>
        <v>25653.7</v>
      </c>
      <c r="G142" s="109">
        <f t="shared" si="15"/>
        <v>10549</v>
      </c>
      <c r="H142" s="109">
        <f t="shared" si="15"/>
        <v>2436606.6800000002</v>
      </c>
      <c r="I142" s="109">
        <f t="shared" si="15"/>
        <v>255465</v>
      </c>
      <c r="J142" s="109">
        <f t="shared" si="15"/>
        <v>270454</v>
      </c>
      <c r="K142" s="109">
        <f t="shared" si="15"/>
        <v>2421617.6800000002</v>
      </c>
    </row>
    <row r="143" spans="1:11" ht="18" customHeight="1" x14ac:dyDescent="0.4">
      <c r="A143" s="1" t="s">
        <v>144</v>
      </c>
      <c r="B143" s="95" t="s">
        <v>66</v>
      </c>
      <c r="F143" s="109">
        <f t="shared" ref="F143:K143" si="16">F64</f>
        <v>615358.5</v>
      </c>
      <c r="G143" s="109">
        <f t="shared" si="16"/>
        <v>231744</v>
      </c>
      <c r="H143" s="109">
        <f t="shared" si="16"/>
        <v>67768975.719999999</v>
      </c>
      <c r="I143" s="109">
        <f t="shared" si="16"/>
        <v>14580255.205300998</v>
      </c>
      <c r="J143" s="109">
        <f t="shared" si="16"/>
        <v>37524481.129999995</v>
      </c>
      <c r="K143" s="109">
        <f t="shared" si="16"/>
        <v>44824749.795301005</v>
      </c>
    </row>
    <row r="144" spans="1:11" ht="18" customHeight="1" x14ac:dyDescent="0.4">
      <c r="A144" s="1" t="s">
        <v>146</v>
      </c>
      <c r="B144" s="95" t="s">
        <v>67</v>
      </c>
      <c r="F144" s="109">
        <f t="shared" ref="F144:K144" si="17">F74</f>
        <v>0</v>
      </c>
      <c r="G144" s="109">
        <f t="shared" si="17"/>
        <v>0</v>
      </c>
      <c r="H144" s="109">
        <f t="shared" si="17"/>
        <v>0</v>
      </c>
      <c r="I144" s="109">
        <f t="shared" si="17"/>
        <v>0</v>
      </c>
      <c r="J144" s="109">
        <f t="shared" si="17"/>
        <v>0</v>
      </c>
      <c r="K144" s="109">
        <f t="shared" si="17"/>
        <v>0</v>
      </c>
    </row>
    <row r="145" spans="1:11" ht="18" customHeight="1" x14ac:dyDescent="0.4">
      <c r="A145" s="1" t="s">
        <v>148</v>
      </c>
      <c r="B145" s="95" t="s">
        <v>68</v>
      </c>
      <c r="F145" s="109">
        <f t="shared" ref="F145:K145" si="18">F82</f>
        <v>2734.5</v>
      </c>
      <c r="G145" s="109">
        <f t="shared" si="18"/>
        <v>1096</v>
      </c>
      <c r="H145" s="109">
        <f t="shared" si="18"/>
        <v>497380.83</v>
      </c>
      <c r="I145" s="109">
        <f t="shared" si="18"/>
        <v>0</v>
      </c>
      <c r="J145" s="109">
        <f t="shared" si="18"/>
        <v>21558.059999999998</v>
      </c>
      <c r="K145" s="109">
        <f t="shared" si="18"/>
        <v>475822.77</v>
      </c>
    </row>
    <row r="146" spans="1:11" ht="18" customHeight="1" x14ac:dyDescent="0.4">
      <c r="A146" s="1" t="s">
        <v>150</v>
      </c>
      <c r="B146" s="95" t="s">
        <v>69</v>
      </c>
      <c r="F146" s="109">
        <f t="shared" ref="F146:K146" si="19">F98</f>
        <v>111</v>
      </c>
      <c r="G146" s="109">
        <f t="shared" si="19"/>
        <v>95</v>
      </c>
      <c r="H146" s="109">
        <f t="shared" si="19"/>
        <v>7944</v>
      </c>
      <c r="I146" s="109">
        <f t="shared" si="19"/>
        <v>5375.7047999999995</v>
      </c>
      <c r="J146" s="109">
        <f t="shared" si="19"/>
        <v>0</v>
      </c>
      <c r="K146" s="109">
        <f t="shared" si="19"/>
        <v>13319.7048</v>
      </c>
    </row>
    <row r="147" spans="1:11" ht="18" customHeight="1" x14ac:dyDescent="0.4">
      <c r="A147" s="1" t="s">
        <v>153</v>
      </c>
      <c r="B147" s="95" t="s">
        <v>61</v>
      </c>
      <c r="F147" s="310">
        <f t="shared" ref="F147:K147" si="20">F108</f>
        <v>318.8</v>
      </c>
      <c r="G147" s="310">
        <f t="shared" si="20"/>
        <v>16</v>
      </c>
      <c r="H147" s="310">
        <f t="shared" si="20"/>
        <v>12693</v>
      </c>
      <c r="I147" s="310">
        <f t="shared" si="20"/>
        <v>8589.3531000000003</v>
      </c>
      <c r="J147" s="310">
        <f t="shared" si="20"/>
        <v>0</v>
      </c>
      <c r="K147" s="310">
        <f t="shared" si="20"/>
        <v>21282.3531</v>
      </c>
    </row>
    <row r="148" spans="1:11" ht="18" customHeight="1" x14ac:dyDescent="0.4">
      <c r="A148" s="1" t="s">
        <v>155</v>
      </c>
      <c r="B148" s="95" t="s">
        <v>70</v>
      </c>
      <c r="F148" s="110" t="s">
        <v>73</v>
      </c>
      <c r="G148" s="110" t="s">
        <v>73</v>
      </c>
      <c r="H148" s="111" t="s">
        <v>73</v>
      </c>
      <c r="I148" s="111" t="s">
        <v>73</v>
      </c>
      <c r="J148" s="111" t="s">
        <v>73</v>
      </c>
      <c r="K148" s="106">
        <f>F111</f>
        <v>5453564.2300000004</v>
      </c>
    </row>
    <row r="149" spans="1:11" ht="18" customHeight="1" x14ac:dyDescent="0.4">
      <c r="A149" s="1" t="s">
        <v>163</v>
      </c>
      <c r="B149" s="95" t="s">
        <v>71</v>
      </c>
      <c r="F149" s="310">
        <f t="shared" ref="F149:K149" si="21">F137</f>
        <v>0</v>
      </c>
      <c r="G149" s="310">
        <f t="shared" si="21"/>
        <v>0</v>
      </c>
      <c r="H149" s="310">
        <f t="shared" si="21"/>
        <v>0</v>
      </c>
      <c r="I149" s="310">
        <f t="shared" si="21"/>
        <v>0</v>
      </c>
      <c r="J149" s="310">
        <f t="shared" si="21"/>
        <v>0</v>
      </c>
      <c r="K149" s="310">
        <f t="shared" si="21"/>
        <v>0</v>
      </c>
    </row>
    <row r="150" spans="1:11" ht="18" customHeight="1" x14ac:dyDescent="0.4">
      <c r="A150" s="1" t="s">
        <v>185</v>
      </c>
      <c r="B150" s="95" t="s">
        <v>186</v>
      </c>
      <c r="F150" s="110" t="s">
        <v>73</v>
      </c>
      <c r="G150" s="110" t="s">
        <v>73</v>
      </c>
      <c r="H150" s="310">
        <f>H18</f>
        <v>7089365.7599999998</v>
      </c>
      <c r="I150" s="310">
        <f>I18</f>
        <v>0</v>
      </c>
      <c r="J150" s="310">
        <f>J18</f>
        <v>5875454.75</v>
      </c>
      <c r="K150" s="310">
        <f>K18</f>
        <v>1213911.0099999998</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2">SUM(F141:F150)</f>
        <v>672512.10000000009</v>
      </c>
      <c r="G152" s="114">
        <f t="shared" si="22"/>
        <v>298779</v>
      </c>
      <c r="H152" s="114">
        <f t="shared" si="22"/>
        <v>79438107.320000008</v>
      </c>
      <c r="I152" s="114">
        <f t="shared" si="22"/>
        <v>15949418.401211997</v>
      </c>
      <c r="J152" s="114">
        <f t="shared" si="22"/>
        <v>43731541.189999998</v>
      </c>
      <c r="K152" s="114">
        <f t="shared" si="22"/>
        <v>57109548.761212014</v>
      </c>
    </row>
    <row r="154" spans="1:11" ht="18" customHeight="1" x14ac:dyDescent="0.4">
      <c r="A154" s="98" t="s">
        <v>168</v>
      </c>
      <c r="B154" s="95" t="s">
        <v>28</v>
      </c>
      <c r="F154" s="318">
        <f>K152/F121</f>
        <v>0.14301020269844833</v>
      </c>
    </row>
    <row r="155" spans="1:11" ht="18" customHeight="1" x14ac:dyDescent="0.4">
      <c r="A155" s="98" t="s">
        <v>169</v>
      </c>
      <c r="B155" s="95" t="s">
        <v>72</v>
      </c>
      <c r="F155" s="318">
        <f>K152/F127</f>
        <v>111.42369974326499</v>
      </c>
      <c r="G155" s="95"/>
    </row>
    <row r="156" spans="1:11" ht="18" customHeight="1" x14ac:dyDescent="0.4">
      <c r="G156" s="95"/>
    </row>
  </sheetData>
  <mergeCells count="34">
    <mergeCell ref="B135:D135"/>
    <mergeCell ref="B133:D133"/>
    <mergeCell ref="B104:D104"/>
    <mergeCell ref="B105:D105"/>
    <mergeCell ref="B106:D106"/>
    <mergeCell ref="B103:C103"/>
    <mergeCell ref="B96:D96"/>
    <mergeCell ref="B95:D95"/>
    <mergeCell ref="B94:D94"/>
    <mergeCell ref="B134:D134"/>
    <mergeCell ref="B62:D62"/>
    <mergeCell ref="B57:D57"/>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s>
  <hyperlinks>
    <hyperlink ref="C11" r:id="rId1" xr:uid="{E353DE64-E740-48F2-B993-F6DF582D12F2}"/>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K156"/>
  <sheetViews>
    <sheetView showGridLines="0" topLeftCell="A136" zoomScale="80" zoomScaleNormal="80" zoomScaleSheetLayoutView="50" workbookViewId="0">
      <selection activeCell="G152" sqref="G152"/>
    </sheetView>
  </sheetViews>
  <sheetFormatPr defaultColWidth="8.71875" defaultRowHeight="18" customHeight="1" x14ac:dyDescent="0.4"/>
  <cols>
    <col min="1" max="1" width="8.44140625" style="93" customWidth="1"/>
    <col min="2" max="2" width="55.44140625" bestFit="1" customWidth="1"/>
    <col min="3" max="3" width="9.5546875" customWidth="1"/>
    <col min="5" max="5" width="12.44140625" customWidth="1"/>
    <col min="6" max="6" width="18.5546875" customWidth="1"/>
    <col min="7" max="7" width="23.5546875" customWidth="1"/>
    <col min="8" max="8" width="17.1640625" customWidth="1"/>
    <col min="9" max="9" width="21.1640625" customWidth="1"/>
    <col min="10" max="10" width="19.83203125" customWidth="1"/>
    <col min="11" max="11" width="17.5546875" customWidth="1"/>
  </cols>
  <sheetData>
    <row r="1" spans="1:11" ht="18" customHeight="1" x14ac:dyDescent="0.4">
      <c r="C1" s="97"/>
      <c r="D1" s="96"/>
      <c r="E1" s="97"/>
      <c r="F1" s="97"/>
      <c r="G1" s="97"/>
      <c r="H1" s="97"/>
      <c r="I1" s="97"/>
      <c r="J1" s="97"/>
      <c r="K1" s="97"/>
    </row>
    <row r="2" spans="1:11" ht="18" customHeight="1" x14ac:dyDescent="0.5">
      <c r="D2" s="628" t="s">
        <v>654</v>
      </c>
      <c r="E2" s="629"/>
      <c r="F2" s="629"/>
      <c r="G2" s="629"/>
      <c r="H2" s="629"/>
    </row>
    <row r="3" spans="1:11" ht="18" customHeight="1" x14ac:dyDescent="0.4">
      <c r="B3" s="95" t="s">
        <v>0</v>
      </c>
    </row>
    <row r="5" spans="1:11" ht="18" customHeight="1" x14ac:dyDescent="0.4">
      <c r="B5" s="1" t="s">
        <v>40</v>
      </c>
      <c r="C5" s="663" t="s">
        <v>334</v>
      </c>
      <c r="D5" s="666"/>
      <c r="E5" s="666"/>
      <c r="F5" s="666"/>
      <c r="G5" s="667"/>
    </row>
    <row r="6" spans="1:11" ht="18" customHeight="1" x14ac:dyDescent="0.4">
      <c r="B6" s="1" t="s">
        <v>3</v>
      </c>
      <c r="C6" s="668" t="s">
        <v>335</v>
      </c>
      <c r="D6" s="669"/>
      <c r="E6" s="669"/>
      <c r="F6" s="669"/>
      <c r="G6" s="670"/>
    </row>
    <row r="7" spans="1:11" ht="18" customHeight="1" x14ac:dyDescent="0.4">
      <c r="B7" s="1" t="s">
        <v>4</v>
      </c>
      <c r="C7" s="671">
        <v>9010</v>
      </c>
      <c r="D7" s="672"/>
      <c r="E7" s="672"/>
      <c r="F7" s="672"/>
      <c r="G7" s="673"/>
    </row>
    <row r="9" spans="1:11" ht="18" customHeight="1" x14ac:dyDescent="0.4">
      <c r="B9" s="1" t="s">
        <v>1</v>
      </c>
      <c r="C9" s="663" t="s">
        <v>336</v>
      </c>
      <c r="D9" s="666"/>
      <c r="E9" s="666"/>
      <c r="F9" s="666"/>
      <c r="G9" s="667"/>
    </row>
    <row r="10" spans="1:11" ht="18" customHeight="1" x14ac:dyDescent="0.4">
      <c r="B10" s="1" t="s">
        <v>2</v>
      </c>
      <c r="C10" s="660" t="s">
        <v>337</v>
      </c>
      <c r="D10" s="661"/>
      <c r="E10" s="661"/>
      <c r="F10" s="661"/>
      <c r="G10" s="662"/>
    </row>
    <row r="11" spans="1:11" ht="18" customHeight="1" x14ac:dyDescent="0.4">
      <c r="B11" s="1" t="s">
        <v>32</v>
      </c>
      <c r="C11" s="663" t="s">
        <v>338</v>
      </c>
      <c r="D11" s="664"/>
      <c r="E11" s="664"/>
      <c r="F11" s="664"/>
      <c r="G11" s="665"/>
    </row>
    <row r="12" spans="1:11" ht="18" customHeight="1" x14ac:dyDescent="0.4">
      <c r="B12" s="1"/>
      <c r="C12" s="1"/>
      <c r="D12" s="1"/>
      <c r="E12" s="1"/>
      <c r="F12" s="1"/>
      <c r="G12" s="1"/>
    </row>
    <row r="13" spans="1:11" ht="24.7" customHeight="1" x14ac:dyDescent="0.4">
      <c r="B13" s="637"/>
      <c r="C13" s="638"/>
      <c r="D13" s="638"/>
      <c r="E13" s="638"/>
      <c r="F13" s="638"/>
      <c r="G13" s="638"/>
      <c r="H13" s="639"/>
      <c r="I13" s="97"/>
    </row>
    <row r="14" spans="1:11" ht="18" customHeight="1" x14ac:dyDescent="0.4">
      <c r="B14" s="393"/>
    </row>
    <row r="15" spans="1:11" ht="18" customHeight="1" x14ac:dyDescent="0.4">
      <c r="B15" s="393"/>
    </row>
    <row r="16" spans="1:11" ht="45" customHeight="1" x14ac:dyDescent="0.4">
      <c r="A16" s="96" t="s">
        <v>181</v>
      </c>
      <c r="B16" s="97"/>
      <c r="C16" s="97"/>
      <c r="D16" s="97"/>
      <c r="E16" s="97"/>
      <c r="F16" s="99" t="s">
        <v>9</v>
      </c>
      <c r="G16" s="99" t="s">
        <v>37</v>
      </c>
      <c r="H16" s="99" t="s">
        <v>29</v>
      </c>
      <c r="I16" s="99" t="s">
        <v>30</v>
      </c>
      <c r="J16" s="99" t="s">
        <v>33</v>
      </c>
      <c r="K16" s="99" t="s">
        <v>34</v>
      </c>
    </row>
    <row r="17" spans="1:11" ht="18" customHeight="1" x14ac:dyDescent="0.4">
      <c r="A17" s="98" t="s">
        <v>184</v>
      </c>
      <c r="B17" s="95" t="s">
        <v>182</v>
      </c>
    </row>
    <row r="18" spans="1:11" ht="18" customHeight="1" x14ac:dyDescent="0.4">
      <c r="A18" s="1" t="s">
        <v>185</v>
      </c>
      <c r="B18" s="94" t="s">
        <v>183</v>
      </c>
      <c r="F18" s="306" t="s">
        <v>73</v>
      </c>
      <c r="G18" s="306" t="s">
        <v>73</v>
      </c>
      <c r="H18" s="307">
        <v>34805556.380000003</v>
      </c>
      <c r="I18" s="115">
        <v>0</v>
      </c>
      <c r="J18" s="307">
        <v>28845806.32</v>
      </c>
      <c r="K18" s="308">
        <f>(H18+I18)-J18</f>
        <v>5959750.0600000024</v>
      </c>
    </row>
    <row r="19" spans="1:11" ht="45" customHeight="1" x14ac:dyDescent="0.4">
      <c r="A19" s="96" t="s">
        <v>8</v>
      </c>
      <c r="B19" s="97"/>
      <c r="C19" s="97"/>
      <c r="D19" s="97"/>
      <c r="E19" s="97"/>
      <c r="F19" s="99" t="s">
        <v>9</v>
      </c>
      <c r="G19" s="99" t="s">
        <v>37</v>
      </c>
      <c r="H19" s="99" t="s">
        <v>29</v>
      </c>
      <c r="I19" s="99" t="s">
        <v>30</v>
      </c>
      <c r="J19" s="99" t="s">
        <v>33</v>
      </c>
      <c r="K19" s="99" t="s">
        <v>34</v>
      </c>
    </row>
    <row r="20" spans="1:11" ht="18" customHeight="1" x14ac:dyDescent="0.4">
      <c r="A20" s="98" t="s">
        <v>74</v>
      </c>
      <c r="B20" s="95" t="s">
        <v>41</v>
      </c>
    </row>
    <row r="21" spans="1:11" ht="18" customHeight="1" x14ac:dyDescent="0.4">
      <c r="A21" s="1" t="s">
        <v>75</v>
      </c>
      <c r="B21" s="94" t="s">
        <v>42</v>
      </c>
      <c r="F21" s="306">
        <v>6777.2</v>
      </c>
      <c r="G21" s="306">
        <v>28149</v>
      </c>
      <c r="H21" s="307">
        <v>483503.12905579596</v>
      </c>
      <c r="I21" s="115">
        <f t="shared" ref="I21:I34" si="0">H21*F$114</f>
        <v>248840.44504198254</v>
      </c>
      <c r="J21" s="307">
        <v>20594</v>
      </c>
      <c r="K21" s="308">
        <f t="shared" ref="K21:K34" si="1">(H21+I21)-J21</f>
        <v>711749.57409777853</v>
      </c>
    </row>
    <row r="22" spans="1:11" ht="18" customHeight="1" x14ac:dyDescent="0.4">
      <c r="A22" s="1" t="s">
        <v>76</v>
      </c>
      <c r="B22" t="s">
        <v>6</v>
      </c>
      <c r="F22" s="306">
        <v>4160</v>
      </c>
      <c r="G22" s="306">
        <v>883</v>
      </c>
      <c r="H22" s="307">
        <v>300773.2</v>
      </c>
      <c r="I22" s="115">
        <f t="shared" si="0"/>
        <v>154796.38589073994</v>
      </c>
      <c r="J22" s="307">
        <v>0</v>
      </c>
      <c r="K22" s="308">
        <f t="shared" si="1"/>
        <v>455569.58589073992</v>
      </c>
    </row>
    <row r="23" spans="1:11" ht="18" customHeight="1" x14ac:dyDescent="0.4">
      <c r="A23" s="1" t="s">
        <v>77</v>
      </c>
      <c r="B23" t="s">
        <v>43</v>
      </c>
      <c r="F23" s="306">
        <v>0</v>
      </c>
      <c r="G23" s="306">
        <v>0</v>
      </c>
      <c r="H23" s="307">
        <v>0</v>
      </c>
      <c r="I23" s="115">
        <f t="shared" si="0"/>
        <v>0</v>
      </c>
      <c r="J23" s="307"/>
      <c r="K23" s="308">
        <f t="shared" si="1"/>
        <v>0</v>
      </c>
    </row>
    <row r="24" spans="1:11" ht="18" customHeight="1" x14ac:dyDescent="0.4">
      <c r="A24" s="1" t="s">
        <v>78</v>
      </c>
      <c r="B24" t="s">
        <v>44</v>
      </c>
      <c r="F24" s="306">
        <v>0</v>
      </c>
      <c r="G24" s="306">
        <v>0</v>
      </c>
      <c r="H24" s="307">
        <v>0</v>
      </c>
      <c r="I24" s="115">
        <f t="shared" si="0"/>
        <v>0</v>
      </c>
      <c r="J24" s="307"/>
      <c r="K24" s="308">
        <f t="shared" si="1"/>
        <v>0</v>
      </c>
    </row>
    <row r="25" spans="1:11" ht="18" customHeight="1" x14ac:dyDescent="0.4">
      <c r="A25" s="1" t="s">
        <v>79</v>
      </c>
      <c r="B25" t="s">
        <v>5</v>
      </c>
      <c r="F25" s="306">
        <v>2618</v>
      </c>
      <c r="G25" s="306">
        <v>3001</v>
      </c>
      <c r="H25" s="307">
        <v>107041.54346605646</v>
      </c>
      <c r="I25" s="115">
        <f t="shared" si="0"/>
        <v>55090.16118694115</v>
      </c>
      <c r="J25" s="307">
        <v>0</v>
      </c>
      <c r="K25" s="308">
        <f t="shared" si="1"/>
        <v>162131.70465299761</v>
      </c>
    </row>
    <row r="26" spans="1:11" ht="18" customHeight="1" x14ac:dyDescent="0.4">
      <c r="A26" s="1" t="s">
        <v>80</v>
      </c>
      <c r="B26" t="s">
        <v>45</v>
      </c>
      <c r="F26" s="306">
        <v>0</v>
      </c>
      <c r="G26" s="306">
        <v>0</v>
      </c>
      <c r="H26" s="307">
        <v>0</v>
      </c>
      <c r="I26" s="115">
        <f t="shared" si="0"/>
        <v>0</v>
      </c>
      <c r="J26" s="307"/>
      <c r="K26" s="308">
        <f t="shared" si="1"/>
        <v>0</v>
      </c>
    </row>
    <row r="27" spans="1:11" ht="18" customHeight="1" x14ac:dyDescent="0.4">
      <c r="A27" s="1" t="s">
        <v>81</v>
      </c>
      <c r="B27" t="s">
        <v>455</v>
      </c>
      <c r="F27" s="306">
        <v>0</v>
      </c>
      <c r="G27" s="306">
        <v>0</v>
      </c>
      <c r="H27" s="307">
        <v>0</v>
      </c>
      <c r="I27" s="115">
        <f t="shared" si="0"/>
        <v>0</v>
      </c>
      <c r="J27" s="307"/>
      <c r="K27" s="308">
        <f t="shared" si="1"/>
        <v>0</v>
      </c>
    </row>
    <row r="28" spans="1:11" ht="18" customHeight="1" x14ac:dyDescent="0.4">
      <c r="A28" s="1" t="s">
        <v>82</v>
      </c>
      <c r="B28" t="s">
        <v>47</v>
      </c>
      <c r="F28" s="306">
        <v>4368</v>
      </c>
      <c r="G28" s="306">
        <v>611</v>
      </c>
      <c r="H28" s="307">
        <v>197242.23999999999</v>
      </c>
      <c r="I28" s="115">
        <f t="shared" si="0"/>
        <v>101512.98685186692</v>
      </c>
      <c r="J28" s="307">
        <v>270000</v>
      </c>
      <c r="K28" s="308">
        <f t="shared" si="1"/>
        <v>28755.22685186693</v>
      </c>
    </row>
    <row r="29" spans="1:11" ht="18" customHeight="1" x14ac:dyDescent="0.4">
      <c r="A29" s="1" t="s">
        <v>83</v>
      </c>
      <c r="B29" t="s">
        <v>48</v>
      </c>
      <c r="F29" s="306">
        <v>17624</v>
      </c>
      <c r="G29" s="306">
        <v>413</v>
      </c>
      <c r="H29" s="307">
        <v>578843</v>
      </c>
      <c r="I29" s="115">
        <f t="shared" si="0"/>
        <v>297908.20591114362</v>
      </c>
      <c r="J29" s="307">
        <v>169527</v>
      </c>
      <c r="K29" s="308">
        <f t="shared" si="1"/>
        <v>707224.20591114368</v>
      </c>
    </row>
    <row r="30" spans="1:11" ht="18" customHeight="1" x14ac:dyDescent="0.4">
      <c r="A30" s="1" t="s">
        <v>84</v>
      </c>
      <c r="B30" s="630"/>
      <c r="C30" s="631"/>
      <c r="D30" s="632"/>
      <c r="F30" s="306"/>
      <c r="G30" s="306"/>
      <c r="H30" s="307"/>
      <c r="I30" s="115">
        <f t="shared" si="0"/>
        <v>0</v>
      </c>
      <c r="J30" s="307"/>
      <c r="K30" s="308">
        <f t="shared" si="1"/>
        <v>0</v>
      </c>
    </row>
    <row r="31" spans="1:11" ht="18" customHeight="1" x14ac:dyDescent="0.4">
      <c r="A31" s="1" t="s">
        <v>133</v>
      </c>
      <c r="B31" s="630"/>
      <c r="C31" s="631"/>
      <c r="D31" s="632"/>
      <c r="F31" s="306"/>
      <c r="G31" s="306"/>
      <c r="H31" s="307"/>
      <c r="I31" s="115">
        <f t="shared" si="0"/>
        <v>0</v>
      </c>
      <c r="J31" s="307"/>
      <c r="K31" s="308">
        <f t="shared" si="1"/>
        <v>0</v>
      </c>
    </row>
    <row r="32" spans="1:11" ht="18" customHeight="1" x14ac:dyDescent="0.4">
      <c r="A32" s="1" t="s">
        <v>134</v>
      </c>
      <c r="B32" s="394"/>
      <c r="C32" s="395"/>
      <c r="D32" s="396"/>
      <c r="F32" s="306"/>
      <c r="G32" s="309" t="s">
        <v>85</v>
      </c>
      <c r="H32" s="307"/>
      <c r="I32" s="115">
        <f t="shared" si="0"/>
        <v>0</v>
      </c>
      <c r="J32" s="307"/>
      <c r="K32" s="308">
        <f t="shared" si="1"/>
        <v>0</v>
      </c>
    </row>
    <row r="33" spans="1:11" ht="18" customHeight="1" x14ac:dyDescent="0.4">
      <c r="A33" s="1" t="s">
        <v>135</v>
      </c>
      <c r="B33" s="394"/>
      <c r="C33" s="395"/>
      <c r="D33" s="396"/>
      <c r="F33" s="306"/>
      <c r="G33" s="309" t="s">
        <v>85</v>
      </c>
      <c r="H33" s="307"/>
      <c r="I33" s="115">
        <f t="shared" si="0"/>
        <v>0</v>
      </c>
      <c r="J33" s="307"/>
      <c r="K33" s="308">
        <f t="shared" si="1"/>
        <v>0</v>
      </c>
    </row>
    <row r="34" spans="1:11" ht="18" customHeight="1" x14ac:dyDescent="0.4">
      <c r="A34" s="1" t="s">
        <v>136</v>
      </c>
      <c r="B34" s="630"/>
      <c r="C34" s="631"/>
      <c r="D34" s="632"/>
      <c r="F34" s="306"/>
      <c r="G34" s="309" t="s">
        <v>85</v>
      </c>
      <c r="H34" s="307"/>
      <c r="I34" s="115">
        <f t="shared" si="0"/>
        <v>0</v>
      </c>
      <c r="J34" s="307"/>
      <c r="K34" s="308">
        <f t="shared" si="1"/>
        <v>0</v>
      </c>
    </row>
    <row r="35" spans="1:11" ht="18" customHeight="1" x14ac:dyDescent="0.4">
      <c r="K35" s="397"/>
    </row>
    <row r="36" spans="1:11" ht="18" customHeight="1" x14ac:dyDescent="0.4">
      <c r="A36" s="98" t="s">
        <v>137</v>
      </c>
      <c r="B36" s="95" t="s">
        <v>138</v>
      </c>
      <c r="E36" s="95" t="s">
        <v>7</v>
      </c>
      <c r="F36" s="310">
        <f t="shared" ref="F36:K36" si="2">SUM(F21:F34)</f>
        <v>35547.199999999997</v>
      </c>
      <c r="G36" s="310">
        <f t="shared" si="2"/>
        <v>33057</v>
      </c>
      <c r="H36" s="310">
        <f t="shared" si="2"/>
        <v>1667403.1125218524</v>
      </c>
      <c r="I36" s="308">
        <f t="shared" si="2"/>
        <v>858148.18488267413</v>
      </c>
      <c r="J36" s="308">
        <f t="shared" si="2"/>
        <v>460121</v>
      </c>
      <c r="K36" s="308">
        <f t="shared" si="2"/>
        <v>2065430.2974045267</v>
      </c>
    </row>
    <row r="37" spans="1:11" ht="18" customHeight="1" thickBot="1" x14ac:dyDescent="0.45">
      <c r="B37" s="95"/>
      <c r="F37" s="398"/>
      <c r="G37" s="398"/>
      <c r="H37" s="399"/>
      <c r="I37" s="399"/>
      <c r="J37" s="399"/>
      <c r="K37" s="112"/>
    </row>
    <row r="38" spans="1:11" ht="42.75" customHeight="1" x14ac:dyDescent="0.4">
      <c r="F38" s="99" t="s">
        <v>9</v>
      </c>
      <c r="G38" s="99" t="s">
        <v>37</v>
      </c>
      <c r="H38" s="99" t="s">
        <v>29</v>
      </c>
      <c r="I38" s="99" t="s">
        <v>30</v>
      </c>
      <c r="J38" s="99" t="s">
        <v>33</v>
      </c>
      <c r="K38" s="99" t="s">
        <v>34</v>
      </c>
    </row>
    <row r="39" spans="1:11" ht="18.75" customHeight="1" x14ac:dyDescent="0.4">
      <c r="A39" s="98" t="s">
        <v>86</v>
      </c>
      <c r="B39" s="95" t="s">
        <v>49</v>
      </c>
    </row>
    <row r="40" spans="1:11" ht="18" customHeight="1" x14ac:dyDescent="0.4">
      <c r="A40" s="1" t="s">
        <v>87</v>
      </c>
      <c r="B40" t="s">
        <v>31</v>
      </c>
      <c r="F40" s="306">
        <v>2398598.4026863948</v>
      </c>
      <c r="G40" s="306"/>
      <c r="H40" s="307">
        <v>119629707.75060602</v>
      </c>
      <c r="I40" s="115">
        <f t="shared" ref="I40:I41" si="3">H40*F$114</f>
        <v>61568804.683925465</v>
      </c>
      <c r="J40" s="307">
        <v>0</v>
      </c>
      <c r="K40" s="308">
        <f t="shared" ref="K40:K47" si="4">(H40+I40)-J40</f>
        <v>181198512.43453148</v>
      </c>
    </row>
    <row r="41" spans="1:11" ht="18" customHeight="1" x14ac:dyDescent="0.4">
      <c r="A41" s="1" t="s">
        <v>88</v>
      </c>
      <c r="B41" s="635" t="s">
        <v>50</v>
      </c>
      <c r="C41" s="636"/>
      <c r="F41" s="306">
        <v>192424</v>
      </c>
      <c r="G41" s="306">
        <v>1350</v>
      </c>
      <c r="H41" s="307">
        <f>F41*32.5</f>
        <v>6253780</v>
      </c>
      <c r="I41" s="115">
        <f t="shared" si="3"/>
        <v>3218579.787546868</v>
      </c>
      <c r="J41" s="307">
        <v>0</v>
      </c>
      <c r="K41" s="308">
        <f t="shared" si="4"/>
        <v>9472359.7875468675</v>
      </c>
    </row>
    <row r="42" spans="1:11" ht="18" customHeight="1" x14ac:dyDescent="0.4">
      <c r="A42" s="1" t="s">
        <v>89</v>
      </c>
      <c r="B42" s="94" t="s">
        <v>11</v>
      </c>
      <c r="F42" s="306"/>
      <c r="G42" s="306"/>
      <c r="H42" s="307"/>
      <c r="I42" s="115">
        <v>0</v>
      </c>
      <c r="J42" s="307"/>
      <c r="K42" s="308">
        <f t="shared" si="4"/>
        <v>0</v>
      </c>
    </row>
    <row r="43" spans="1:11" ht="18" customHeight="1" x14ac:dyDescent="0.4">
      <c r="A43" s="1" t="s">
        <v>90</v>
      </c>
      <c r="B43" s="94" t="s">
        <v>10</v>
      </c>
      <c r="F43" s="306"/>
      <c r="G43" s="306"/>
      <c r="H43" s="307"/>
      <c r="I43" s="115">
        <v>0</v>
      </c>
      <c r="J43" s="307"/>
      <c r="K43" s="308">
        <f t="shared" si="4"/>
        <v>0</v>
      </c>
    </row>
    <row r="44" spans="1:11" ht="18" customHeight="1" x14ac:dyDescent="0.4">
      <c r="A44" s="1" t="s">
        <v>91</v>
      </c>
      <c r="B44" s="630"/>
      <c r="C44" s="631"/>
      <c r="D44" s="632"/>
      <c r="F44" s="311"/>
      <c r="G44" s="311"/>
      <c r="H44" s="311"/>
      <c r="I44" s="116">
        <v>0</v>
      </c>
      <c r="J44" s="311"/>
      <c r="K44" s="353">
        <f t="shared" si="4"/>
        <v>0</v>
      </c>
    </row>
    <row r="45" spans="1:11" ht="18" customHeight="1" x14ac:dyDescent="0.4">
      <c r="A45" s="1" t="s">
        <v>139</v>
      </c>
      <c r="B45" s="630"/>
      <c r="C45" s="631"/>
      <c r="D45" s="632"/>
      <c r="F45" s="306"/>
      <c r="G45" s="306"/>
      <c r="H45" s="307"/>
      <c r="I45" s="115">
        <v>0</v>
      </c>
      <c r="J45" s="307"/>
      <c r="K45" s="308">
        <f t="shared" si="4"/>
        <v>0</v>
      </c>
    </row>
    <row r="46" spans="1:11" ht="18" customHeight="1" x14ac:dyDescent="0.4">
      <c r="A46" s="1" t="s">
        <v>140</v>
      </c>
      <c r="B46" s="630"/>
      <c r="C46" s="631"/>
      <c r="D46" s="632"/>
      <c r="F46" s="306"/>
      <c r="G46" s="306"/>
      <c r="H46" s="307"/>
      <c r="I46" s="115">
        <v>0</v>
      </c>
      <c r="J46" s="307"/>
      <c r="K46" s="308">
        <f t="shared" si="4"/>
        <v>0</v>
      </c>
    </row>
    <row r="47" spans="1:11" ht="18" customHeight="1" x14ac:dyDescent="0.4">
      <c r="A47" s="1" t="s">
        <v>141</v>
      </c>
      <c r="B47" s="630"/>
      <c r="C47" s="631"/>
      <c r="D47" s="632"/>
      <c r="F47" s="306"/>
      <c r="G47" s="306"/>
      <c r="H47" s="307"/>
      <c r="I47" s="115">
        <v>0</v>
      </c>
      <c r="J47" s="307"/>
      <c r="K47" s="308">
        <f t="shared" si="4"/>
        <v>0</v>
      </c>
    </row>
    <row r="49" spans="1:11" ht="18" customHeight="1" x14ac:dyDescent="0.4">
      <c r="A49" s="98" t="s">
        <v>142</v>
      </c>
      <c r="B49" s="95" t="s">
        <v>143</v>
      </c>
      <c r="E49" s="95" t="s">
        <v>7</v>
      </c>
      <c r="F49" s="312">
        <f t="shared" ref="F49:K49" si="5">SUM(F40:F47)</f>
        <v>2591022.4026863948</v>
      </c>
      <c r="G49" s="312">
        <f t="shared" si="5"/>
        <v>1350</v>
      </c>
      <c r="H49" s="308">
        <f t="shared" si="5"/>
        <v>125883487.75060602</v>
      </c>
      <c r="I49" s="308">
        <f t="shared" si="5"/>
        <v>64787384.47147233</v>
      </c>
      <c r="J49" s="308">
        <f t="shared" si="5"/>
        <v>0</v>
      </c>
      <c r="K49" s="308">
        <f t="shared" si="5"/>
        <v>190670872.22207835</v>
      </c>
    </row>
    <row r="50" spans="1:11" ht="18" customHeight="1" thickBot="1" x14ac:dyDescent="0.45">
      <c r="G50" s="103"/>
      <c r="H50" s="103"/>
      <c r="I50" s="103"/>
      <c r="J50" s="103"/>
      <c r="K50" s="103"/>
    </row>
    <row r="51" spans="1:11" ht="42.75" customHeight="1" x14ac:dyDescent="0.4">
      <c r="F51" s="99" t="s">
        <v>9</v>
      </c>
      <c r="G51" s="99" t="s">
        <v>37</v>
      </c>
      <c r="H51" s="99" t="s">
        <v>29</v>
      </c>
      <c r="I51" s="99" t="s">
        <v>30</v>
      </c>
      <c r="J51" s="99" t="s">
        <v>33</v>
      </c>
      <c r="K51" s="99" t="s">
        <v>34</v>
      </c>
    </row>
    <row r="52" spans="1:11" ht="18" customHeight="1" x14ac:dyDescent="0.4">
      <c r="A52" s="98" t="s">
        <v>92</v>
      </c>
      <c r="B52" s="656" t="s">
        <v>38</v>
      </c>
      <c r="C52" s="657"/>
    </row>
    <row r="53" spans="1:11" ht="18" customHeight="1" x14ac:dyDescent="0.5">
      <c r="A53" s="1" t="s">
        <v>51</v>
      </c>
      <c r="B53" s="674" t="s">
        <v>339</v>
      </c>
      <c r="C53" s="675"/>
      <c r="D53" s="676"/>
      <c r="F53" s="306">
        <v>0</v>
      </c>
      <c r="G53" s="306">
        <v>0</v>
      </c>
      <c r="H53" s="307">
        <v>7946.44</v>
      </c>
      <c r="I53" s="115">
        <f t="shared" ref="I53:I55" si="6">H53*F$114</f>
        <v>4089.7267199923776</v>
      </c>
      <c r="J53" s="307">
        <v>6853.88</v>
      </c>
      <c r="K53" s="308">
        <f t="shared" ref="K53:K62" si="7">(H53+I53)-J53</f>
        <v>5182.2867199923776</v>
      </c>
    </row>
    <row r="54" spans="1:11" ht="18" customHeight="1" x14ac:dyDescent="0.5">
      <c r="A54" s="1" t="s">
        <v>93</v>
      </c>
      <c r="B54" s="413" t="s">
        <v>340</v>
      </c>
      <c r="C54" s="414"/>
      <c r="D54" s="415"/>
      <c r="F54" s="306">
        <v>232801.47000727803</v>
      </c>
      <c r="G54" s="306">
        <v>47197</v>
      </c>
      <c r="H54" s="307">
        <v>14107711.337499999</v>
      </c>
      <c r="I54" s="115">
        <f t="shared" si="6"/>
        <v>7260695.8606512034</v>
      </c>
      <c r="J54" s="307">
        <v>8669406.8800000008</v>
      </c>
      <c r="K54" s="308">
        <f t="shared" si="7"/>
        <v>12699000.3181512</v>
      </c>
    </row>
    <row r="55" spans="1:11" ht="18" customHeight="1" x14ac:dyDescent="0.4">
      <c r="A55" s="1" t="s">
        <v>94</v>
      </c>
      <c r="B55" s="655" t="s">
        <v>535</v>
      </c>
      <c r="C55" s="653"/>
      <c r="D55" s="654"/>
      <c r="F55" s="306">
        <v>21303.669997602701</v>
      </c>
      <c r="G55" s="306">
        <v>11775</v>
      </c>
      <c r="H55" s="307">
        <v>2015493.1</v>
      </c>
      <c r="I55" s="115">
        <f t="shared" si="6"/>
        <v>1037296.6995321515</v>
      </c>
      <c r="J55" s="307">
        <v>1221246.5699999996</v>
      </c>
      <c r="K55" s="308">
        <f t="shared" si="7"/>
        <v>1831543.2295321522</v>
      </c>
    </row>
    <row r="56" spans="1:11" ht="18" customHeight="1" x14ac:dyDescent="0.4">
      <c r="A56" s="1" t="s">
        <v>95</v>
      </c>
      <c r="B56" s="655"/>
      <c r="C56" s="653"/>
      <c r="D56" s="654"/>
      <c r="F56" s="306"/>
      <c r="G56" s="306"/>
      <c r="H56" s="307"/>
      <c r="I56" s="115">
        <v>0</v>
      </c>
      <c r="J56" s="307"/>
      <c r="K56" s="308">
        <f t="shared" si="7"/>
        <v>0</v>
      </c>
    </row>
    <row r="57" spans="1:11" ht="18" customHeight="1" x14ac:dyDescent="0.4">
      <c r="A57" s="1" t="s">
        <v>96</v>
      </c>
      <c r="B57" s="655"/>
      <c r="C57" s="653"/>
      <c r="D57" s="654"/>
      <c r="F57" s="306"/>
      <c r="G57" s="306"/>
      <c r="H57" s="307"/>
      <c r="I57" s="115">
        <v>0</v>
      </c>
      <c r="J57" s="307"/>
      <c r="K57" s="308">
        <f t="shared" si="7"/>
        <v>0</v>
      </c>
    </row>
    <row r="58" spans="1:11" ht="18" customHeight="1" x14ac:dyDescent="0.4">
      <c r="A58" s="1" t="s">
        <v>97</v>
      </c>
      <c r="B58" s="400"/>
      <c r="C58" s="401"/>
      <c r="D58" s="402"/>
      <c r="F58" s="306"/>
      <c r="G58" s="306"/>
      <c r="H58" s="307"/>
      <c r="I58" s="115">
        <v>0</v>
      </c>
      <c r="J58" s="307"/>
      <c r="K58" s="308">
        <f t="shared" si="7"/>
        <v>0</v>
      </c>
    </row>
    <row r="59" spans="1:11" ht="18" customHeight="1" x14ac:dyDescent="0.4">
      <c r="A59" s="1" t="s">
        <v>98</v>
      </c>
      <c r="B59" s="655"/>
      <c r="C59" s="653"/>
      <c r="D59" s="654"/>
      <c r="F59" s="306"/>
      <c r="G59" s="306"/>
      <c r="H59" s="307"/>
      <c r="I59" s="115">
        <v>0</v>
      </c>
      <c r="J59" s="307"/>
      <c r="K59" s="308">
        <f t="shared" si="7"/>
        <v>0</v>
      </c>
    </row>
    <row r="60" spans="1:11" ht="18" customHeight="1" x14ac:dyDescent="0.4">
      <c r="A60" s="1" t="s">
        <v>99</v>
      </c>
      <c r="B60" s="400"/>
      <c r="C60" s="401"/>
      <c r="D60" s="402"/>
      <c r="F60" s="306"/>
      <c r="G60" s="306"/>
      <c r="H60" s="307"/>
      <c r="I60" s="115">
        <v>0</v>
      </c>
      <c r="J60" s="307"/>
      <c r="K60" s="308">
        <f t="shared" si="7"/>
        <v>0</v>
      </c>
    </row>
    <row r="61" spans="1:11" ht="18" customHeight="1" x14ac:dyDescent="0.4">
      <c r="A61" s="1" t="s">
        <v>100</v>
      </c>
      <c r="B61" s="400"/>
      <c r="C61" s="401"/>
      <c r="D61" s="402"/>
      <c r="F61" s="306"/>
      <c r="G61" s="306"/>
      <c r="H61" s="307"/>
      <c r="I61" s="115">
        <v>0</v>
      </c>
      <c r="J61" s="307"/>
      <c r="K61" s="308">
        <f t="shared" si="7"/>
        <v>0</v>
      </c>
    </row>
    <row r="62" spans="1:11" ht="18" customHeight="1" x14ac:dyDescent="0.4">
      <c r="A62" s="1" t="s">
        <v>101</v>
      </c>
      <c r="B62" s="655"/>
      <c r="C62" s="653"/>
      <c r="D62" s="654"/>
      <c r="F62" s="306"/>
      <c r="G62" s="306"/>
      <c r="H62" s="307"/>
      <c r="I62" s="115">
        <v>0</v>
      </c>
      <c r="J62" s="307"/>
      <c r="K62" s="308">
        <f t="shared" si="7"/>
        <v>0</v>
      </c>
    </row>
    <row r="63" spans="1:11" ht="18" customHeight="1" x14ac:dyDescent="0.4">
      <c r="A63" s="1"/>
      <c r="I63" s="403"/>
    </row>
    <row r="64" spans="1:11" ht="18" customHeight="1" x14ac:dyDescent="0.4">
      <c r="A64" s="1" t="s">
        <v>144</v>
      </c>
      <c r="B64" s="95" t="s">
        <v>145</v>
      </c>
      <c r="E64" s="95" t="s">
        <v>7</v>
      </c>
      <c r="F64" s="310">
        <f t="shared" ref="F64:K64" si="8">SUM(F53:F62)</f>
        <v>254105.14000488073</v>
      </c>
      <c r="G64" s="310">
        <f t="shared" si="8"/>
        <v>58972</v>
      </c>
      <c r="H64" s="308">
        <f t="shared" si="8"/>
        <v>16131150.877499998</v>
      </c>
      <c r="I64" s="308">
        <f t="shared" si="8"/>
        <v>8302082.2869033469</v>
      </c>
      <c r="J64" s="308">
        <f t="shared" si="8"/>
        <v>9897507.3300000019</v>
      </c>
      <c r="K64" s="308">
        <f t="shared" si="8"/>
        <v>14535725.834403345</v>
      </c>
    </row>
    <row r="65" spans="1:11" ht="18" customHeight="1" x14ac:dyDescent="0.4">
      <c r="F65" s="113"/>
      <c r="G65" s="113"/>
      <c r="H65" s="113"/>
      <c r="I65" s="113"/>
      <c r="J65" s="113"/>
      <c r="K65" s="113"/>
    </row>
    <row r="66" spans="1:11" ht="42.75" customHeight="1" x14ac:dyDescent="0.4">
      <c r="F66" s="99" t="s">
        <v>9</v>
      </c>
      <c r="G66" s="99" t="s">
        <v>37</v>
      </c>
      <c r="H66" s="99" t="s">
        <v>29</v>
      </c>
      <c r="I66" s="99" t="s">
        <v>30</v>
      </c>
      <c r="J66" s="99" t="s">
        <v>33</v>
      </c>
      <c r="K66" s="99" t="s">
        <v>34</v>
      </c>
    </row>
    <row r="67" spans="1:11" ht="18" customHeight="1" x14ac:dyDescent="0.4">
      <c r="A67" s="98" t="s">
        <v>102</v>
      </c>
      <c r="B67" s="95" t="s">
        <v>12</v>
      </c>
      <c r="F67" s="404"/>
      <c r="G67" s="404"/>
      <c r="H67" s="404"/>
      <c r="I67" s="405"/>
      <c r="J67" s="404"/>
      <c r="K67" s="405"/>
    </row>
    <row r="68" spans="1:11" ht="18" customHeight="1" x14ac:dyDescent="0.4">
      <c r="A68" s="1" t="s">
        <v>103</v>
      </c>
      <c r="B68" t="s">
        <v>52</v>
      </c>
      <c r="F68" s="313"/>
      <c r="G68" s="313"/>
      <c r="H68" s="313"/>
      <c r="I68" s="115">
        <v>0</v>
      </c>
      <c r="J68" s="313"/>
      <c r="K68" s="308">
        <f>(H68+I68)-J68</f>
        <v>0</v>
      </c>
    </row>
    <row r="69" spans="1:11" ht="18" customHeight="1" x14ac:dyDescent="0.4">
      <c r="A69" s="1" t="s">
        <v>104</v>
      </c>
      <c r="B69" s="94" t="s">
        <v>53</v>
      </c>
      <c r="F69" s="313"/>
      <c r="G69" s="313"/>
      <c r="H69" s="313"/>
      <c r="I69" s="115">
        <v>0</v>
      </c>
      <c r="J69" s="313"/>
      <c r="K69" s="308">
        <f>(H69+I69)-J69</f>
        <v>0</v>
      </c>
    </row>
    <row r="70" spans="1:11" ht="18" customHeight="1" x14ac:dyDescent="0.4">
      <c r="A70" s="1" t="s">
        <v>178</v>
      </c>
      <c r="B70" s="400"/>
      <c r="C70" s="401"/>
      <c r="D70" s="402"/>
      <c r="E70" s="95"/>
      <c r="F70" s="104"/>
      <c r="G70" s="104"/>
      <c r="H70" s="105"/>
      <c r="I70" s="115">
        <v>0</v>
      </c>
      <c r="J70" s="105"/>
      <c r="K70" s="308">
        <f>(H70+I70)-J70</f>
        <v>0</v>
      </c>
    </row>
    <row r="71" spans="1:11" ht="18" customHeight="1" x14ac:dyDescent="0.4">
      <c r="A71" s="1" t="s">
        <v>179</v>
      </c>
      <c r="B71" s="400"/>
      <c r="C71" s="401"/>
      <c r="D71" s="402"/>
      <c r="E71" s="95"/>
      <c r="F71" s="104"/>
      <c r="G71" s="104"/>
      <c r="H71" s="105"/>
      <c r="I71" s="115">
        <v>0</v>
      </c>
      <c r="J71" s="105"/>
      <c r="K71" s="308">
        <f>(H71+I71)-J71</f>
        <v>0</v>
      </c>
    </row>
    <row r="72" spans="1:11" ht="18" customHeight="1" x14ac:dyDescent="0.4">
      <c r="A72" s="1" t="s">
        <v>180</v>
      </c>
      <c r="B72" s="406"/>
      <c r="C72" s="407"/>
      <c r="D72" s="408"/>
      <c r="E72" s="95"/>
      <c r="F72" s="306"/>
      <c r="G72" s="306"/>
      <c r="H72" s="307"/>
      <c r="I72" s="115">
        <v>0</v>
      </c>
      <c r="J72" s="307"/>
      <c r="K72" s="308">
        <f>(H72+I72)-J72</f>
        <v>0</v>
      </c>
    </row>
    <row r="73" spans="1:11" ht="18" customHeight="1" x14ac:dyDescent="0.4">
      <c r="A73" s="1"/>
      <c r="B73" s="94"/>
      <c r="E73" s="95"/>
      <c r="F73" s="409"/>
      <c r="G73" s="409"/>
      <c r="H73" s="410"/>
      <c r="I73" s="405"/>
      <c r="J73" s="410"/>
      <c r="K73" s="405"/>
    </row>
    <row r="74" spans="1:11" ht="18" customHeight="1" x14ac:dyDescent="0.4">
      <c r="A74" s="98" t="s">
        <v>146</v>
      </c>
      <c r="B74" s="95" t="s">
        <v>147</v>
      </c>
      <c r="E74" s="95" t="s">
        <v>7</v>
      </c>
      <c r="F74" s="411">
        <f t="shared" ref="F74:K74" si="9">SUM(F68:F72)</f>
        <v>0</v>
      </c>
      <c r="G74" s="411">
        <f t="shared" si="9"/>
        <v>0</v>
      </c>
      <c r="H74" s="411">
        <f t="shared" si="9"/>
        <v>0</v>
      </c>
      <c r="I74" s="412">
        <f t="shared" si="9"/>
        <v>0</v>
      </c>
      <c r="J74" s="411">
        <f t="shared" si="9"/>
        <v>0</v>
      </c>
      <c r="K74" s="308">
        <f t="shared" si="9"/>
        <v>0</v>
      </c>
    </row>
    <row r="75" spans="1:11" ht="42.75" customHeight="1" x14ac:dyDescent="0.4">
      <c r="F75" s="99" t="s">
        <v>9</v>
      </c>
      <c r="G75" s="99" t="s">
        <v>37</v>
      </c>
      <c r="H75" s="99" t="s">
        <v>29</v>
      </c>
      <c r="I75" s="99" t="s">
        <v>30</v>
      </c>
      <c r="J75" s="99" t="s">
        <v>33</v>
      </c>
      <c r="K75" s="99" t="s">
        <v>34</v>
      </c>
    </row>
    <row r="76" spans="1:11" ht="18" customHeight="1" x14ac:dyDescent="0.4">
      <c r="A76" s="98" t="s">
        <v>105</v>
      </c>
      <c r="B76" s="95" t="s">
        <v>106</v>
      </c>
    </row>
    <row r="77" spans="1:11" ht="18" customHeight="1" x14ac:dyDescent="0.4">
      <c r="A77" s="1" t="s">
        <v>107</v>
      </c>
      <c r="B77" s="94" t="s">
        <v>54</v>
      </c>
      <c r="F77" s="306">
        <v>1398</v>
      </c>
      <c r="G77" s="306">
        <v>21902</v>
      </c>
      <c r="H77" s="307">
        <v>270151.02878233808</v>
      </c>
      <c r="I77" s="115">
        <v>0</v>
      </c>
      <c r="J77" s="307">
        <v>0</v>
      </c>
      <c r="K77" s="308">
        <f>(H77+I77)-J77</f>
        <v>270151.02878233808</v>
      </c>
    </row>
    <row r="78" spans="1:11" ht="18" customHeight="1" x14ac:dyDescent="0.4">
      <c r="A78" s="1" t="s">
        <v>108</v>
      </c>
      <c r="B78" s="94" t="s">
        <v>55</v>
      </c>
      <c r="F78" s="306">
        <v>0</v>
      </c>
      <c r="G78" s="306">
        <v>0</v>
      </c>
      <c r="H78" s="307">
        <v>0</v>
      </c>
      <c r="I78" s="115">
        <v>0</v>
      </c>
      <c r="J78" s="307"/>
      <c r="K78" s="308">
        <f>(H78+I78)-J78</f>
        <v>0</v>
      </c>
    </row>
    <row r="79" spans="1:11" ht="18" customHeight="1" x14ac:dyDescent="0.4">
      <c r="A79" s="1" t="s">
        <v>109</v>
      </c>
      <c r="B79" s="94" t="s">
        <v>13</v>
      </c>
      <c r="F79" s="306">
        <v>1478</v>
      </c>
      <c r="G79" s="306">
        <v>1294</v>
      </c>
      <c r="H79" s="307">
        <v>0</v>
      </c>
      <c r="I79" s="115">
        <v>0</v>
      </c>
      <c r="J79" s="307">
        <v>0</v>
      </c>
      <c r="K79" s="308">
        <f>(H79+I79)-J79</f>
        <v>0</v>
      </c>
    </row>
    <row r="80" spans="1:11" ht="18" customHeight="1" x14ac:dyDescent="0.4">
      <c r="A80" s="1" t="s">
        <v>110</v>
      </c>
      <c r="B80" s="94" t="s">
        <v>56</v>
      </c>
      <c r="F80" s="306">
        <v>0</v>
      </c>
      <c r="G80" s="306">
        <v>0</v>
      </c>
      <c r="H80" s="307">
        <v>0</v>
      </c>
      <c r="I80" s="115">
        <v>0</v>
      </c>
      <c r="J80" s="307"/>
      <c r="K80" s="308">
        <f>(H80+I80)-J80</f>
        <v>0</v>
      </c>
    </row>
    <row r="81" spans="1:11" ht="18" customHeight="1" x14ac:dyDescent="0.4">
      <c r="A81" s="1"/>
      <c r="K81" s="315"/>
    </row>
    <row r="82" spans="1:11" ht="18" customHeight="1" x14ac:dyDescent="0.4">
      <c r="A82" s="1" t="s">
        <v>148</v>
      </c>
      <c r="B82" s="95" t="s">
        <v>149</v>
      </c>
      <c r="E82" s="95" t="s">
        <v>7</v>
      </c>
      <c r="F82" s="411">
        <f t="shared" ref="F82:K82" si="10">SUM(F77:F80)</f>
        <v>2876</v>
      </c>
      <c r="G82" s="411">
        <f t="shared" si="10"/>
        <v>23196</v>
      </c>
      <c r="H82" s="308">
        <f t="shared" si="10"/>
        <v>270151.02878233808</v>
      </c>
      <c r="I82" s="308">
        <f t="shared" si="10"/>
        <v>0</v>
      </c>
      <c r="J82" s="308">
        <f t="shared" si="10"/>
        <v>0</v>
      </c>
      <c r="K82" s="308">
        <f t="shared" si="10"/>
        <v>270151.02878233808</v>
      </c>
    </row>
    <row r="83" spans="1:11" ht="18" customHeight="1" thickBot="1" x14ac:dyDescent="0.45">
      <c r="A83" s="1"/>
      <c r="F83" s="103"/>
      <c r="G83" s="103"/>
      <c r="H83" s="103"/>
      <c r="I83" s="103"/>
      <c r="J83" s="103"/>
      <c r="K83" s="103"/>
    </row>
    <row r="84" spans="1:11" ht="42.75" customHeight="1" x14ac:dyDescent="0.4">
      <c r="F84" s="99" t="s">
        <v>9</v>
      </c>
      <c r="G84" s="99" t="s">
        <v>37</v>
      </c>
      <c r="H84" s="99" t="s">
        <v>29</v>
      </c>
      <c r="I84" s="99" t="s">
        <v>30</v>
      </c>
      <c r="J84" s="99" t="s">
        <v>33</v>
      </c>
      <c r="K84" s="99" t="s">
        <v>34</v>
      </c>
    </row>
    <row r="85" spans="1:11" ht="18" customHeight="1" x14ac:dyDescent="0.4">
      <c r="A85" s="98" t="s">
        <v>111</v>
      </c>
      <c r="B85" s="95" t="s">
        <v>57</v>
      </c>
    </row>
    <row r="86" spans="1:11" ht="18" customHeight="1" x14ac:dyDescent="0.4">
      <c r="A86" s="1" t="s">
        <v>112</v>
      </c>
      <c r="B86" s="94" t="s">
        <v>113</v>
      </c>
      <c r="F86" s="311">
        <v>1768</v>
      </c>
      <c r="G86" s="306">
        <v>5000</v>
      </c>
      <c r="H86" s="352">
        <v>217079.72</v>
      </c>
      <c r="I86" s="115">
        <f t="shared" ref="I86:I96" si="11">H86*F$114</f>
        <v>111722.57403975412</v>
      </c>
      <c r="J86" s="307">
        <v>0</v>
      </c>
      <c r="K86" s="308">
        <f t="shared" ref="K86:K96" si="12">(H86+I86)-J86</f>
        <v>328802.29403975414</v>
      </c>
    </row>
    <row r="87" spans="1:11" ht="18" customHeight="1" x14ac:dyDescent="0.4">
      <c r="A87" s="1" t="s">
        <v>114</v>
      </c>
      <c r="B87" s="94" t="s">
        <v>14</v>
      </c>
      <c r="F87" s="306">
        <v>150</v>
      </c>
      <c r="G87" s="306">
        <v>0</v>
      </c>
      <c r="H87" s="307">
        <v>26137.421703296706</v>
      </c>
      <c r="I87" s="115">
        <f t="shared" si="11"/>
        <v>13451.924626836826</v>
      </c>
      <c r="J87" s="307">
        <v>0</v>
      </c>
      <c r="K87" s="308">
        <f t="shared" si="12"/>
        <v>39589.346330133529</v>
      </c>
    </row>
    <row r="88" spans="1:11" ht="18" customHeight="1" x14ac:dyDescent="0.4">
      <c r="A88" s="1" t="s">
        <v>115</v>
      </c>
      <c r="B88" s="94" t="s">
        <v>116</v>
      </c>
      <c r="F88" s="306">
        <v>0</v>
      </c>
      <c r="G88" s="306">
        <v>0</v>
      </c>
      <c r="H88" s="307">
        <v>0</v>
      </c>
      <c r="I88" s="115">
        <f t="shared" si="11"/>
        <v>0</v>
      </c>
      <c r="J88" s="307"/>
      <c r="K88" s="308">
        <f t="shared" si="12"/>
        <v>0</v>
      </c>
    </row>
    <row r="89" spans="1:11" ht="18" customHeight="1" x14ac:dyDescent="0.4">
      <c r="A89" s="1" t="s">
        <v>117</v>
      </c>
      <c r="B89" s="94" t="s">
        <v>58</v>
      </c>
      <c r="F89" s="306">
        <v>0</v>
      </c>
      <c r="G89" s="306">
        <v>0</v>
      </c>
      <c r="H89" s="307">
        <v>0</v>
      </c>
      <c r="I89" s="115">
        <f t="shared" si="11"/>
        <v>0</v>
      </c>
      <c r="J89" s="307"/>
      <c r="K89" s="308">
        <f t="shared" si="12"/>
        <v>0</v>
      </c>
    </row>
    <row r="90" spans="1:11" ht="18" customHeight="1" x14ac:dyDescent="0.4">
      <c r="A90" s="1" t="s">
        <v>118</v>
      </c>
      <c r="B90" s="635" t="s">
        <v>59</v>
      </c>
      <c r="C90" s="636"/>
      <c r="F90" s="306">
        <v>0</v>
      </c>
      <c r="G90" s="306">
        <v>0</v>
      </c>
      <c r="H90" s="307">
        <v>0</v>
      </c>
      <c r="I90" s="115">
        <f t="shared" si="11"/>
        <v>0</v>
      </c>
      <c r="J90" s="307"/>
      <c r="K90" s="308">
        <f t="shared" si="12"/>
        <v>0</v>
      </c>
    </row>
    <row r="91" spans="1:11" ht="18" customHeight="1" x14ac:dyDescent="0.4">
      <c r="A91" s="1" t="s">
        <v>119</v>
      </c>
      <c r="B91" s="94" t="s">
        <v>60</v>
      </c>
      <c r="F91" s="306">
        <v>160</v>
      </c>
      <c r="G91" s="306">
        <v>0</v>
      </c>
      <c r="H91" s="307">
        <v>26808.121703296707</v>
      </c>
      <c r="I91" s="115">
        <f t="shared" si="11"/>
        <v>13797.108094037094</v>
      </c>
      <c r="J91" s="307">
        <v>0</v>
      </c>
      <c r="K91" s="308">
        <f t="shared" si="12"/>
        <v>40605.229797333799</v>
      </c>
    </row>
    <row r="92" spans="1:11" ht="18" customHeight="1" x14ac:dyDescent="0.4">
      <c r="A92" s="1" t="s">
        <v>120</v>
      </c>
      <c r="B92" s="94" t="s">
        <v>121</v>
      </c>
      <c r="F92" s="306">
        <v>0</v>
      </c>
      <c r="G92" s="306">
        <v>0</v>
      </c>
      <c r="H92" s="307">
        <v>0</v>
      </c>
      <c r="I92" s="115">
        <f t="shared" si="11"/>
        <v>0</v>
      </c>
      <c r="J92" s="108"/>
      <c r="K92" s="308">
        <f t="shared" si="12"/>
        <v>0</v>
      </c>
    </row>
    <row r="93" spans="1:11" ht="18" customHeight="1" x14ac:dyDescent="0.4">
      <c r="A93" s="1" t="s">
        <v>122</v>
      </c>
      <c r="B93" s="94" t="s">
        <v>123</v>
      </c>
      <c r="F93" s="306">
        <v>6240</v>
      </c>
      <c r="G93" s="306">
        <v>3767</v>
      </c>
      <c r="H93" s="307">
        <v>296956.88476600643</v>
      </c>
      <c r="I93" s="115">
        <f t="shared" si="11"/>
        <v>152832.27537277498</v>
      </c>
      <c r="J93" s="307">
        <v>0</v>
      </c>
      <c r="K93" s="308">
        <f t="shared" si="12"/>
        <v>449789.16013878142</v>
      </c>
    </row>
    <row r="94" spans="1:11" ht="18" customHeight="1" x14ac:dyDescent="0.4">
      <c r="A94" s="1" t="s">
        <v>124</v>
      </c>
      <c r="B94" s="655"/>
      <c r="C94" s="653"/>
      <c r="D94" s="654"/>
      <c r="F94" s="306">
        <v>0</v>
      </c>
      <c r="G94" s="306">
        <v>0</v>
      </c>
      <c r="H94" s="307">
        <v>0</v>
      </c>
      <c r="I94" s="115">
        <f t="shared" si="11"/>
        <v>0</v>
      </c>
      <c r="J94" s="307"/>
      <c r="K94" s="308">
        <f t="shared" si="12"/>
        <v>0</v>
      </c>
    </row>
    <row r="95" spans="1:11" ht="18" customHeight="1" x14ac:dyDescent="0.4">
      <c r="A95" s="1" t="s">
        <v>125</v>
      </c>
      <c r="B95" s="655"/>
      <c r="C95" s="653"/>
      <c r="D95" s="654"/>
      <c r="F95" s="306">
        <v>0</v>
      </c>
      <c r="G95" s="306">
        <v>0</v>
      </c>
      <c r="H95" s="307">
        <v>0</v>
      </c>
      <c r="I95" s="115">
        <f t="shared" si="11"/>
        <v>0</v>
      </c>
      <c r="J95" s="307"/>
      <c r="K95" s="308">
        <f t="shared" si="12"/>
        <v>0</v>
      </c>
    </row>
    <row r="96" spans="1:11" ht="18" customHeight="1" x14ac:dyDescent="0.4">
      <c r="A96" s="1" t="s">
        <v>126</v>
      </c>
      <c r="B96" s="655"/>
      <c r="C96" s="653"/>
      <c r="D96" s="654"/>
      <c r="F96" s="306"/>
      <c r="G96" s="306"/>
      <c r="H96" s="307"/>
      <c r="I96" s="115">
        <f t="shared" si="11"/>
        <v>0</v>
      </c>
      <c r="J96" s="307"/>
      <c r="K96" s="308">
        <f t="shared" si="12"/>
        <v>0</v>
      </c>
    </row>
    <row r="97" spans="1:11" ht="18" customHeight="1" x14ac:dyDescent="0.4">
      <c r="A97" s="1"/>
      <c r="B97" s="94"/>
    </row>
    <row r="98" spans="1:11" ht="18" customHeight="1" x14ac:dyDescent="0.4">
      <c r="A98" s="98" t="s">
        <v>150</v>
      </c>
      <c r="B98" s="95" t="s">
        <v>151</v>
      </c>
      <c r="E98" s="95" t="s">
        <v>7</v>
      </c>
      <c r="F98" s="310">
        <f t="shared" ref="F98:K98" si="13">SUM(F86:F96)</f>
        <v>8318</v>
      </c>
      <c r="G98" s="310">
        <f t="shared" si="13"/>
        <v>8767</v>
      </c>
      <c r="H98" s="308">
        <f t="shared" si="13"/>
        <v>566982.14817259985</v>
      </c>
      <c r="I98" s="308">
        <f t="shared" si="13"/>
        <v>291803.88213340304</v>
      </c>
      <c r="J98" s="308">
        <f t="shared" si="13"/>
        <v>0</v>
      </c>
      <c r="K98" s="308">
        <f t="shared" si="13"/>
        <v>858786.03030600294</v>
      </c>
    </row>
    <row r="99" spans="1:11" ht="18" customHeight="1" thickBot="1" x14ac:dyDescent="0.45">
      <c r="B99" s="95"/>
      <c r="F99" s="103"/>
      <c r="G99" s="103"/>
      <c r="H99" s="103"/>
      <c r="I99" s="103"/>
      <c r="J99" s="103"/>
      <c r="K99" s="103"/>
    </row>
    <row r="100" spans="1:11" ht="42.75" customHeight="1" x14ac:dyDescent="0.4">
      <c r="F100" s="99" t="s">
        <v>9</v>
      </c>
      <c r="G100" s="99" t="s">
        <v>37</v>
      </c>
      <c r="H100" s="99" t="s">
        <v>29</v>
      </c>
      <c r="I100" s="99" t="s">
        <v>30</v>
      </c>
      <c r="J100" s="99" t="s">
        <v>33</v>
      </c>
      <c r="K100" s="99" t="s">
        <v>34</v>
      </c>
    </row>
    <row r="101" spans="1:11" ht="18" customHeight="1" x14ac:dyDescent="0.4">
      <c r="A101" s="98" t="s">
        <v>130</v>
      </c>
      <c r="B101" s="95" t="s">
        <v>63</v>
      </c>
      <c r="F101" s="416"/>
      <c r="G101" s="416"/>
      <c r="H101" s="416"/>
      <c r="I101" s="416"/>
      <c r="J101" s="416"/>
    </row>
    <row r="102" spans="1:11" ht="18" customHeight="1" x14ac:dyDescent="0.4">
      <c r="A102" s="1" t="s">
        <v>131</v>
      </c>
      <c r="B102" s="94" t="s">
        <v>152</v>
      </c>
      <c r="F102" s="311">
        <v>2748.8</v>
      </c>
      <c r="G102" s="311">
        <v>0</v>
      </c>
      <c r="H102" s="352">
        <v>79465.57085041095</v>
      </c>
      <c r="I102" s="116">
        <f>H102*F$114</f>
        <v>40897.869791551071</v>
      </c>
      <c r="J102" s="352">
        <v>0</v>
      </c>
      <c r="K102" s="353">
        <f>(H102+I102)-J102</f>
        <v>120363.44064196202</v>
      </c>
    </row>
    <row r="103" spans="1:11" ht="18" customHeight="1" x14ac:dyDescent="0.4">
      <c r="A103" s="1" t="s">
        <v>132</v>
      </c>
      <c r="B103" s="635" t="s">
        <v>62</v>
      </c>
      <c r="C103" s="635"/>
      <c r="F103" s="306"/>
      <c r="G103" s="306"/>
      <c r="H103" s="307"/>
      <c r="I103" s="115">
        <f>H103*F$114</f>
        <v>0</v>
      </c>
      <c r="J103" s="307"/>
      <c r="K103" s="308">
        <f>(H103+I103)-J103</f>
        <v>0</v>
      </c>
    </row>
    <row r="104" spans="1:11" ht="18" customHeight="1" x14ac:dyDescent="0.4">
      <c r="A104" s="1" t="s">
        <v>128</v>
      </c>
      <c r="B104" s="655"/>
      <c r="C104" s="653"/>
      <c r="D104" s="654"/>
      <c r="F104" s="306"/>
      <c r="G104" s="306"/>
      <c r="H104" s="307"/>
      <c r="I104" s="115">
        <f>H104*F$114</f>
        <v>0</v>
      </c>
      <c r="J104" s="307"/>
      <c r="K104" s="308">
        <f>(H104+I104)-J104</f>
        <v>0</v>
      </c>
    </row>
    <row r="105" spans="1:11" ht="18" customHeight="1" x14ac:dyDescent="0.4">
      <c r="A105" s="1" t="s">
        <v>127</v>
      </c>
      <c r="B105" s="655"/>
      <c r="C105" s="653"/>
      <c r="D105" s="654"/>
      <c r="F105" s="306"/>
      <c r="G105" s="306"/>
      <c r="H105" s="307"/>
      <c r="I105" s="115">
        <f>H105*F$114</f>
        <v>0</v>
      </c>
      <c r="J105" s="307"/>
      <c r="K105" s="308">
        <f>(H105+I105)-J105</f>
        <v>0</v>
      </c>
    </row>
    <row r="106" spans="1:11" ht="18" customHeight="1" x14ac:dyDescent="0.4">
      <c r="A106" s="1" t="s">
        <v>129</v>
      </c>
      <c r="B106" s="655"/>
      <c r="C106" s="653"/>
      <c r="D106" s="654"/>
      <c r="F106" s="306"/>
      <c r="G106" s="306"/>
      <c r="H106" s="307"/>
      <c r="I106" s="115">
        <f>H106*F$114</f>
        <v>0</v>
      </c>
      <c r="J106" s="307"/>
      <c r="K106" s="308">
        <f>(H106+I106)-J106</f>
        <v>0</v>
      </c>
    </row>
    <row r="107" spans="1:11" ht="18" customHeight="1" x14ac:dyDescent="0.4">
      <c r="B107" s="95"/>
    </row>
    <row r="108" spans="1:11" ht="18" customHeight="1" x14ac:dyDescent="0.4">
      <c r="A108" s="98" t="s">
        <v>153</v>
      </c>
      <c r="B108" s="95" t="s">
        <v>154</v>
      </c>
      <c r="E108" s="95" t="s">
        <v>7</v>
      </c>
      <c r="F108" s="310">
        <f t="shared" ref="F108:K108" si="14">SUM(F102:F106)</f>
        <v>2748.8</v>
      </c>
      <c r="G108" s="310">
        <f t="shared" si="14"/>
        <v>0</v>
      </c>
      <c r="H108" s="308">
        <f t="shared" si="14"/>
        <v>79465.57085041095</v>
      </c>
      <c r="I108" s="308">
        <f t="shared" si="14"/>
        <v>40897.869791551071</v>
      </c>
      <c r="J108" s="308">
        <f t="shared" si="14"/>
        <v>0</v>
      </c>
      <c r="K108" s="308">
        <f t="shared" si="14"/>
        <v>120363.44064196202</v>
      </c>
    </row>
    <row r="109" spans="1:11" ht="18" customHeight="1" thickBot="1" x14ac:dyDescent="0.45">
      <c r="A109" s="100"/>
      <c r="B109" s="101"/>
      <c r="C109" s="102"/>
      <c r="D109" s="102"/>
      <c r="E109" s="102"/>
      <c r="F109" s="103"/>
      <c r="G109" s="103"/>
      <c r="H109" s="103"/>
      <c r="I109" s="103"/>
      <c r="J109" s="103"/>
      <c r="K109" s="103"/>
    </row>
    <row r="110" spans="1:11" ht="18" customHeight="1" x14ac:dyDescent="0.4">
      <c r="A110" s="98" t="s">
        <v>156</v>
      </c>
      <c r="B110" s="95" t="s">
        <v>39</v>
      </c>
    </row>
    <row r="111" spans="1:11" ht="18" customHeight="1" x14ac:dyDescent="0.4">
      <c r="A111" s="98" t="s">
        <v>155</v>
      </c>
      <c r="B111" s="95" t="s">
        <v>164</v>
      </c>
      <c r="E111" s="95" t="s">
        <v>7</v>
      </c>
      <c r="F111" s="307">
        <v>21239000</v>
      </c>
    </row>
    <row r="112" spans="1:11" ht="18" customHeight="1" x14ac:dyDescent="0.4">
      <c r="B112" s="95"/>
      <c r="E112" s="95"/>
    </row>
    <row r="113" spans="1:6" ht="18" customHeight="1" x14ac:dyDescent="0.4">
      <c r="A113" s="98"/>
      <c r="B113" s="95" t="s">
        <v>15</v>
      </c>
    </row>
    <row r="114" spans="1:6" ht="18" customHeight="1" x14ac:dyDescent="0.4">
      <c r="A114" s="1" t="s">
        <v>171</v>
      </c>
      <c r="B114" s="94" t="s">
        <v>35</v>
      </c>
      <c r="F114" s="317">
        <v>0.5146614987330651</v>
      </c>
    </row>
    <row r="115" spans="1:6" ht="18" customHeight="1" x14ac:dyDescent="0.4">
      <c r="A115" s="1"/>
      <c r="B115" s="95"/>
    </row>
    <row r="116" spans="1:6" ht="18" customHeight="1" x14ac:dyDescent="0.4">
      <c r="A116" s="1" t="s">
        <v>170</v>
      </c>
      <c r="B116" s="95" t="s">
        <v>16</v>
      </c>
    </row>
    <row r="117" spans="1:6" ht="18" customHeight="1" x14ac:dyDescent="0.4">
      <c r="A117" s="1" t="s">
        <v>172</v>
      </c>
      <c r="B117" s="94" t="s">
        <v>17</v>
      </c>
      <c r="F117" s="307">
        <v>1586078000</v>
      </c>
    </row>
    <row r="118" spans="1:6" ht="18" customHeight="1" x14ac:dyDescent="0.4">
      <c r="A118" s="1" t="s">
        <v>173</v>
      </c>
      <c r="B118" t="s">
        <v>18</v>
      </c>
      <c r="F118" s="307">
        <v>198740000</v>
      </c>
    </row>
    <row r="119" spans="1:6" ht="18" customHeight="1" x14ac:dyDescent="0.4">
      <c r="A119" s="1" t="s">
        <v>174</v>
      </c>
      <c r="B119" s="95" t="s">
        <v>19</v>
      </c>
      <c r="F119" s="308">
        <f>SUM(F117:F118)</f>
        <v>1784818000</v>
      </c>
    </row>
    <row r="120" spans="1:6" ht="18" customHeight="1" x14ac:dyDescent="0.4">
      <c r="A120" s="1"/>
      <c r="B120" s="95"/>
    </row>
    <row r="121" spans="1:6" ht="18" customHeight="1" x14ac:dyDescent="0.4">
      <c r="A121" s="1" t="s">
        <v>167</v>
      </c>
      <c r="B121" s="95" t="s">
        <v>36</v>
      </c>
      <c r="F121" s="307">
        <v>1692179000</v>
      </c>
    </row>
    <row r="122" spans="1:6" ht="18" customHeight="1" x14ac:dyDescent="0.4">
      <c r="A122" s="1"/>
    </row>
    <row r="123" spans="1:6" ht="18" customHeight="1" x14ac:dyDescent="0.4">
      <c r="A123" s="1" t="s">
        <v>175</v>
      </c>
      <c r="B123" s="95" t="s">
        <v>20</v>
      </c>
      <c r="F123" s="319">
        <f>+F119-F121</f>
        <v>92639000</v>
      </c>
    </row>
    <row r="124" spans="1:6" ht="18" customHeight="1" x14ac:dyDescent="0.4">
      <c r="A124" s="1"/>
    </row>
    <row r="125" spans="1:6" ht="18" customHeight="1" x14ac:dyDescent="0.4">
      <c r="A125" s="1" t="s">
        <v>176</v>
      </c>
      <c r="B125" s="95" t="s">
        <v>21</v>
      </c>
      <c r="F125" s="307">
        <v>-6072000</v>
      </c>
    </row>
    <row r="126" spans="1:6" ht="18" customHeight="1" x14ac:dyDescent="0.4">
      <c r="A126" s="1"/>
    </row>
    <row r="127" spans="1:6" ht="18" customHeight="1" x14ac:dyDescent="0.4">
      <c r="A127" s="1" t="s">
        <v>177</v>
      </c>
      <c r="B127" s="95" t="s">
        <v>22</v>
      </c>
      <c r="F127" s="319">
        <f>+F123+F125</f>
        <v>86567000</v>
      </c>
    </row>
    <row r="128" spans="1:6" ht="18" customHeight="1" x14ac:dyDescent="0.4">
      <c r="A128" s="1"/>
    </row>
    <row r="129" spans="1:11" ht="42.75" customHeight="1" x14ac:dyDescent="0.4">
      <c r="F129" s="99" t="s">
        <v>9</v>
      </c>
      <c r="G129" s="99" t="s">
        <v>37</v>
      </c>
      <c r="H129" s="99" t="s">
        <v>29</v>
      </c>
      <c r="I129" s="99" t="s">
        <v>30</v>
      </c>
      <c r="J129" s="99" t="s">
        <v>33</v>
      </c>
      <c r="K129" s="99" t="s">
        <v>34</v>
      </c>
    </row>
    <row r="130" spans="1:11" ht="18" customHeight="1" x14ac:dyDescent="0.4">
      <c r="A130" s="98" t="s">
        <v>157</v>
      </c>
      <c r="B130" s="95" t="s">
        <v>23</v>
      </c>
    </row>
    <row r="131" spans="1:11" ht="18" customHeight="1" x14ac:dyDescent="0.4">
      <c r="A131" s="1" t="s">
        <v>158</v>
      </c>
      <c r="B131" t="s">
        <v>24</v>
      </c>
      <c r="F131" s="306"/>
      <c r="G131" s="306"/>
      <c r="H131" s="307"/>
      <c r="I131" s="115">
        <v>0</v>
      </c>
      <c r="J131" s="307"/>
      <c r="K131" s="308">
        <f>(H131+I131)-J131</f>
        <v>0</v>
      </c>
    </row>
    <row r="132" spans="1:11" ht="18" customHeight="1" x14ac:dyDescent="0.4">
      <c r="A132" s="1" t="s">
        <v>159</v>
      </c>
      <c r="B132" t="s">
        <v>25</v>
      </c>
      <c r="F132" s="306"/>
      <c r="G132" s="306"/>
      <c r="H132" s="307"/>
      <c r="I132" s="115">
        <v>0</v>
      </c>
      <c r="J132" s="307"/>
      <c r="K132" s="308">
        <f>(H132+I132)-J132</f>
        <v>0</v>
      </c>
    </row>
    <row r="133" spans="1:11" ht="18" customHeight="1" x14ac:dyDescent="0.4">
      <c r="A133" s="1" t="s">
        <v>160</v>
      </c>
      <c r="B133" s="630"/>
      <c r="C133" s="631"/>
      <c r="D133" s="632"/>
      <c r="F133" s="306"/>
      <c r="G133" s="306"/>
      <c r="H133" s="307"/>
      <c r="I133" s="115">
        <v>0</v>
      </c>
      <c r="J133" s="307"/>
      <c r="K133" s="308">
        <f>(H133+I133)-J133</f>
        <v>0</v>
      </c>
    </row>
    <row r="134" spans="1:11" ht="18" customHeight="1" x14ac:dyDescent="0.4">
      <c r="A134" s="1" t="s">
        <v>161</v>
      </c>
      <c r="B134" s="630"/>
      <c r="C134" s="631"/>
      <c r="D134" s="632"/>
      <c r="F134" s="306"/>
      <c r="G134" s="306"/>
      <c r="H134" s="307"/>
      <c r="I134" s="115">
        <v>0</v>
      </c>
      <c r="J134" s="307"/>
      <c r="K134" s="308">
        <f>(H134+I134)-J134</f>
        <v>0</v>
      </c>
    </row>
    <row r="135" spans="1:11" ht="18" customHeight="1" x14ac:dyDescent="0.4">
      <c r="A135" s="1" t="s">
        <v>162</v>
      </c>
      <c r="B135" s="630"/>
      <c r="C135" s="631"/>
      <c r="D135" s="632"/>
      <c r="F135" s="306"/>
      <c r="G135" s="306"/>
      <c r="H135" s="307"/>
      <c r="I135" s="115">
        <v>0</v>
      </c>
      <c r="J135" s="307"/>
      <c r="K135" s="308">
        <f>(H135+I135)-J135</f>
        <v>0</v>
      </c>
    </row>
    <row r="136" spans="1:11" ht="18" customHeight="1" x14ac:dyDescent="0.4">
      <c r="A136" s="98"/>
    </row>
    <row r="137" spans="1:11" ht="18" customHeight="1" x14ac:dyDescent="0.4">
      <c r="A137" s="98" t="s">
        <v>163</v>
      </c>
      <c r="B137" s="95" t="s">
        <v>27</v>
      </c>
      <c r="F137" s="310">
        <f t="shared" ref="F137:K137" si="15">SUM(F131:F135)</f>
        <v>0</v>
      </c>
      <c r="G137" s="310">
        <f t="shared" si="15"/>
        <v>0</v>
      </c>
      <c r="H137" s="308">
        <f t="shared" si="15"/>
        <v>0</v>
      </c>
      <c r="I137" s="308">
        <f t="shared" si="15"/>
        <v>0</v>
      </c>
      <c r="J137" s="308">
        <f t="shared" si="15"/>
        <v>0</v>
      </c>
      <c r="K137" s="308">
        <f t="shared" si="15"/>
        <v>0</v>
      </c>
    </row>
    <row r="138" spans="1:11" ht="18" customHeight="1" x14ac:dyDescent="0.4">
      <c r="A138"/>
    </row>
    <row r="139" spans="1:11" ht="42.75" customHeight="1" x14ac:dyDescent="0.4">
      <c r="F139" s="99" t="s">
        <v>9</v>
      </c>
      <c r="G139" s="99" t="s">
        <v>37</v>
      </c>
      <c r="H139" s="99" t="s">
        <v>29</v>
      </c>
      <c r="I139" s="99" t="s">
        <v>30</v>
      </c>
      <c r="J139" s="99" t="s">
        <v>33</v>
      </c>
      <c r="K139" s="99" t="s">
        <v>34</v>
      </c>
    </row>
    <row r="140" spans="1:11" ht="18" customHeight="1" x14ac:dyDescent="0.4">
      <c r="A140" s="98" t="s">
        <v>166</v>
      </c>
      <c r="B140" s="95" t="s">
        <v>26</v>
      </c>
    </row>
    <row r="141" spans="1:11" ht="18" customHeight="1" x14ac:dyDescent="0.4">
      <c r="A141" s="1" t="s">
        <v>137</v>
      </c>
      <c r="B141" s="95" t="s">
        <v>64</v>
      </c>
      <c r="F141" s="109">
        <f t="shared" ref="F141:K141" si="16">F36</f>
        <v>35547.199999999997</v>
      </c>
      <c r="G141" s="109">
        <f t="shared" si="16"/>
        <v>33057</v>
      </c>
      <c r="H141" s="217">
        <f t="shared" si="16"/>
        <v>1667403.1125218524</v>
      </c>
      <c r="I141" s="106">
        <f t="shared" si="16"/>
        <v>858148.18488267413</v>
      </c>
      <c r="J141" s="217">
        <f t="shared" si="16"/>
        <v>460121</v>
      </c>
      <c r="K141" s="106">
        <f t="shared" si="16"/>
        <v>2065430.2974045267</v>
      </c>
    </row>
    <row r="142" spans="1:11" ht="18" customHeight="1" x14ac:dyDescent="0.4">
      <c r="A142" s="1" t="s">
        <v>142</v>
      </c>
      <c r="B142" s="95" t="s">
        <v>65</v>
      </c>
      <c r="F142" s="109">
        <f t="shared" ref="F142:K142" si="17">F49</f>
        <v>2591022.4026863948</v>
      </c>
      <c r="G142" s="109">
        <f t="shared" si="17"/>
        <v>1350</v>
      </c>
      <c r="H142" s="217">
        <f t="shared" si="17"/>
        <v>125883487.75060602</v>
      </c>
      <c r="I142" s="106">
        <f t="shared" si="17"/>
        <v>64787384.47147233</v>
      </c>
      <c r="J142" s="217">
        <f t="shared" si="17"/>
        <v>0</v>
      </c>
      <c r="K142" s="106">
        <f t="shared" si="17"/>
        <v>190670872.22207835</v>
      </c>
    </row>
    <row r="143" spans="1:11" ht="18" customHeight="1" x14ac:dyDescent="0.4">
      <c r="A143" s="1" t="s">
        <v>144</v>
      </c>
      <c r="B143" s="95" t="s">
        <v>66</v>
      </c>
      <c r="F143" s="109">
        <f t="shared" ref="F143:K143" si="18">F64</f>
        <v>254105.14000488073</v>
      </c>
      <c r="G143" s="109">
        <f t="shared" si="18"/>
        <v>58972</v>
      </c>
      <c r="H143" s="217">
        <f t="shared" si="18"/>
        <v>16131150.877499998</v>
      </c>
      <c r="I143" s="106">
        <f t="shared" si="18"/>
        <v>8302082.2869033469</v>
      </c>
      <c r="J143" s="217">
        <f t="shared" si="18"/>
        <v>9897507.3300000019</v>
      </c>
      <c r="K143" s="106">
        <f t="shared" si="18"/>
        <v>14535725.834403345</v>
      </c>
    </row>
    <row r="144" spans="1:11" ht="18" customHeight="1" x14ac:dyDescent="0.4">
      <c r="A144" s="1" t="s">
        <v>146</v>
      </c>
      <c r="B144" s="95" t="s">
        <v>67</v>
      </c>
      <c r="F144" s="109">
        <f t="shared" ref="F144:K144" si="19">F74</f>
        <v>0</v>
      </c>
      <c r="G144" s="109">
        <f t="shared" si="19"/>
        <v>0</v>
      </c>
      <c r="H144" s="217">
        <f t="shared" si="19"/>
        <v>0</v>
      </c>
      <c r="I144" s="106">
        <f t="shared" si="19"/>
        <v>0</v>
      </c>
      <c r="J144" s="217">
        <f t="shared" si="19"/>
        <v>0</v>
      </c>
      <c r="K144" s="106">
        <f t="shared" si="19"/>
        <v>0</v>
      </c>
    </row>
    <row r="145" spans="1:11" ht="18" customHeight="1" x14ac:dyDescent="0.4">
      <c r="A145" s="1" t="s">
        <v>148</v>
      </c>
      <c r="B145" s="95" t="s">
        <v>68</v>
      </c>
      <c r="F145" s="109">
        <f t="shared" ref="F145:K145" si="20">F82</f>
        <v>2876</v>
      </c>
      <c r="G145" s="109">
        <f t="shared" si="20"/>
        <v>23196</v>
      </c>
      <c r="H145" s="217">
        <f t="shared" si="20"/>
        <v>270151.02878233808</v>
      </c>
      <c r="I145" s="106">
        <f t="shared" si="20"/>
        <v>0</v>
      </c>
      <c r="J145" s="217">
        <f t="shared" si="20"/>
        <v>0</v>
      </c>
      <c r="K145" s="106">
        <f t="shared" si="20"/>
        <v>270151.02878233808</v>
      </c>
    </row>
    <row r="146" spans="1:11" ht="18" customHeight="1" x14ac:dyDescent="0.4">
      <c r="A146" s="1" t="s">
        <v>150</v>
      </c>
      <c r="B146" s="95" t="s">
        <v>69</v>
      </c>
      <c r="F146" s="109">
        <f t="shared" ref="F146:K146" si="21">F98</f>
        <v>8318</v>
      </c>
      <c r="G146" s="109">
        <f t="shared" si="21"/>
        <v>8767</v>
      </c>
      <c r="H146" s="217">
        <f t="shared" si="21"/>
        <v>566982.14817259985</v>
      </c>
      <c r="I146" s="106">
        <f t="shared" si="21"/>
        <v>291803.88213340304</v>
      </c>
      <c r="J146" s="217">
        <f t="shared" si="21"/>
        <v>0</v>
      </c>
      <c r="K146" s="106">
        <f t="shared" si="21"/>
        <v>858786.03030600294</v>
      </c>
    </row>
    <row r="147" spans="1:11" ht="18" customHeight="1" x14ac:dyDescent="0.4">
      <c r="A147" s="1" t="s">
        <v>153</v>
      </c>
      <c r="B147" s="95" t="s">
        <v>61</v>
      </c>
      <c r="F147" s="310">
        <f t="shared" ref="F147:K147" si="22">F108</f>
        <v>2748.8</v>
      </c>
      <c r="G147" s="310">
        <f t="shared" si="22"/>
        <v>0</v>
      </c>
      <c r="H147" s="351">
        <f t="shared" si="22"/>
        <v>79465.57085041095</v>
      </c>
      <c r="I147" s="308">
        <f t="shared" si="22"/>
        <v>40897.869791551071</v>
      </c>
      <c r="J147" s="351">
        <f t="shared" si="22"/>
        <v>0</v>
      </c>
      <c r="K147" s="308">
        <f t="shared" si="22"/>
        <v>120363.44064196202</v>
      </c>
    </row>
    <row r="148" spans="1:11" ht="18" customHeight="1" x14ac:dyDescent="0.4">
      <c r="A148" s="1" t="s">
        <v>155</v>
      </c>
      <c r="B148" s="95" t="s">
        <v>70</v>
      </c>
      <c r="F148" s="110" t="s">
        <v>73</v>
      </c>
      <c r="G148" s="110" t="s">
        <v>73</v>
      </c>
      <c r="H148" s="111" t="s">
        <v>73</v>
      </c>
      <c r="I148" s="111" t="s">
        <v>73</v>
      </c>
      <c r="J148" s="111" t="s">
        <v>73</v>
      </c>
      <c r="K148" s="106">
        <f>F111</f>
        <v>21239000</v>
      </c>
    </row>
    <row r="149" spans="1:11" ht="18" customHeight="1" x14ac:dyDescent="0.4">
      <c r="A149" s="1" t="s">
        <v>163</v>
      </c>
      <c r="B149" s="95" t="s">
        <v>71</v>
      </c>
      <c r="F149" s="310">
        <f t="shared" ref="F149:K149" si="23">F137</f>
        <v>0</v>
      </c>
      <c r="G149" s="310">
        <f t="shared" si="23"/>
        <v>0</v>
      </c>
      <c r="H149" s="351">
        <f t="shared" si="23"/>
        <v>0</v>
      </c>
      <c r="I149" s="351">
        <f t="shared" si="23"/>
        <v>0</v>
      </c>
      <c r="J149" s="351">
        <f t="shared" si="23"/>
        <v>0</v>
      </c>
      <c r="K149" s="308">
        <f t="shared" si="23"/>
        <v>0</v>
      </c>
    </row>
    <row r="150" spans="1:11" ht="18" customHeight="1" x14ac:dyDescent="0.4">
      <c r="A150" s="1" t="s">
        <v>185</v>
      </c>
      <c r="B150" s="95" t="s">
        <v>186</v>
      </c>
      <c r="F150" s="110" t="s">
        <v>73</v>
      </c>
      <c r="G150" s="110" t="s">
        <v>73</v>
      </c>
      <c r="H150" s="351">
        <f>H18</f>
        <v>34805556.380000003</v>
      </c>
      <c r="I150" s="351">
        <f>I18</f>
        <v>0</v>
      </c>
      <c r="J150" s="351">
        <f>J18</f>
        <v>28845806.32</v>
      </c>
      <c r="K150" s="308">
        <f>K18</f>
        <v>5959750.0600000024</v>
      </c>
    </row>
    <row r="151" spans="1:11" ht="18" customHeight="1" x14ac:dyDescent="0.4">
      <c r="B151" s="95"/>
      <c r="F151" s="113"/>
      <c r="G151" s="113"/>
      <c r="H151" s="113"/>
      <c r="I151" s="113"/>
      <c r="J151" s="113"/>
      <c r="K151" s="113"/>
    </row>
    <row r="152" spans="1:11" ht="18" customHeight="1" x14ac:dyDescent="0.4">
      <c r="A152" s="98" t="s">
        <v>165</v>
      </c>
      <c r="B152" s="95" t="s">
        <v>26</v>
      </c>
      <c r="F152" s="114">
        <f t="shared" ref="F152:K152" si="24">SUM(F141:F150)</f>
        <v>2894617.5426912755</v>
      </c>
      <c r="G152" s="114">
        <f t="shared" si="24"/>
        <v>125342</v>
      </c>
      <c r="H152" s="417">
        <f t="shared" si="24"/>
        <v>179404196.86843321</v>
      </c>
      <c r="I152" s="417">
        <f t="shared" si="24"/>
        <v>74280316.695183307</v>
      </c>
      <c r="J152" s="417">
        <f t="shared" si="24"/>
        <v>39203434.650000006</v>
      </c>
      <c r="K152" s="417">
        <f t="shared" si="24"/>
        <v>235720078.91361654</v>
      </c>
    </row>
    <row r="154" spans="1:11" ht="18" customHeight="1" x14ac:dyDescent="0.4">
      <c r="A154" s="98" t="s">
        <v>168</v>
      </c>
      <c r="B154" s="95" t="s">
        <v>28</v>
      </c>
      <c r="F154" s="318">
        <f>K152/F121</f>
        <v>0.13929973065119974</v>
      </c>
    </row>
    <row r="155" spans="1:11" ht="18" customHeight="1" x14ac:dyDescent="0.4">
      <c r="A155" s="98" t="s">
        <v>169</v>
      </c>
      <c r="B155" s="95" t="s">
        <v>72</v>
      </c>
      <c r="F155" s="318">
        <f>K152/F127</f>
        <v>2.7229784896509819</v>
      </c>
      <c r="G155" s="95"/>
    </row>
    <row r="156" spans="1:11" ht="18" customHeight="1" x14ac:dyDescent="0.4">
      <c r="G156" s="95"/>
    </row>
  </sheetData>
  <mergeCells count="34">
    <mergeCell ref="B134:D134"/>
    <mergeCell ref="B135:D135"/>
    <mergeCell ref="B94:D94"/>
    <mergeCell ref="B95:D95"/>
    <mergeCell ref="B96:D96"/>
    <mergeCell ref="B103:C103"/>
    <mergeCell ref="B104:D104"/>
    <mergeCell ref="B105:D105"/>
    <mergeCell ref="B56:D56"/>
    <mergeCell ref="B57:D57"/>
    <mergeCell ref="B41:C41"/>
    <mergeCell ref="B106:D106"/>
    <mergeCell ref="B133:D133"/>
    <mergeCell ref="B90:C90"/>
    <mergeCell ref="B44:D44"/>
    <mergeCell ref="B45:D45"/>
    <mergeCell ref="B46:D46"/>
    <mergeCell ref="B47:D47"/>
    <mergeCell ref="B59:D59"/>
    <mergeCell ref="B62:D62"/>
    <mergeCell ref="B52:C52"/>
    <mergeCell ref="B53:D53"/>
    <mergeCell ref="B55:D55"/>
    <mergeCell ref="D2:H2"/>
    <mergeCell ref="C5:G5"/>
    <mergeCell ref="C6:G6"/>
    <mergeCell ref="C7:G7"/>
    <mergeCell ref="C9:G9"/>
    <mergeCell ref="B34:D34"/>
    <mergeCell ref="C10:G10"/>
    <mergeCell ref="C11:G11"/>
    <mergeCell ref="B13:H13"/>
    <mergeCell ref="B30:D30"/>
    <mergeCell ref="B31:D31"/>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A3E8EB7-5515-48C6-AB2D-8BFA86DEA1AC}"/>
</file>

<file path=customXml/itemProps2.xml><?xml version="1.0" encoding="utf-8"?>
<ds:datastoreItem xmlns:ds="http://schemas.openxmlformats.org/officeDocument/2006/customXml" ds:itemID="{2CA7EDD0-919A-47E7-8B30-AA405793EF22}"/>
</file>

<file path=customXml/itemProps3.xml><?xml version="1.0" encoding="utf-8"?>
<ds:datastoreItem xmlns:ds="http://schemas.openxmlformats.org/officeDocument/2006/customXml" ds:itemID="{A28C9B74-02A9-4B01-8E03-CE647B9A3D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48</vt:i4>
      </vt:variant>
    </vt:vector>
  </HeadingPairs>
  <TitlesOfParts>
    <vt:vector size="105" baseType="lpstr">
      <vt:lpstr>DME_NSPI-all</vt:lpstr>
      <vt:lpstr>Charity in Rates</vt:lpstr>
      <vt:lpstr>Figures</vt:lpstr>
      <vt:lpstr>CB Table 1</vt:lpstr>
      <vt:lpstr>Rate Support-Attachment I</vt:lpstr>
      <vt:lpstr>Attachment II-All Hospitals</vt:lpstr>
      <vt:lpstr>Attachment III-All</vt:lpstr>
      <vt:lpstr>#1-Meritus</vt:lpstr>
      <vt:lpstr>#2-UMMC</vt:lpstr>
      <vt:lpstr>#3-Prince Georges Hospital</vt:lpstr>
      <vt:lpstr>#4-Holy Cross Hospital</vt:lpstr>
      <vt:lpstr>#5-Frederick Memorial Hospital</vt:lpstr>
      <vt:lpstr>#6-UM Harford Memorial</vt:lpstr>
      <vt:lpstr>#8-Mercy</vt:lpstr>
      <vt:lpstr>#9-Johns Hopkins</vt:lpstr>
      <vt:lpstr>#10-UM Shore Health Dorchester</vt:lpstr>
      <vt:lpstr>#11-St. Agnes Hospital</vt:lpstr>
      <vt:lpstr>#12-Sinai</vt:lpstr>
      <vt:lpstr>#13-Bon Secours</vt:lpstr>
      <vt:lpstr>#15-MedStar Franklin Square</vt:lpstr>
      <vt:lpstr>#16-Washington Adventist</vt:lpstr>
      <vt:lpstr>#17-Garrett County Memorial</vt:lpstr>
      <vt:lpstr>#18-MedStar Montgomery General</vt:lpstr>
      <vt:lpstr>#19-Peninsula Regional</vt:lpstr>
      <vt:lpstr>#22-Suburban</vt:lpstr>
      <vt:lpstr>#23-AAMC</vt:lpstr>
      <vt:lpstr>#24-MedStar Union Memorial</vt:lpstr>
      <vt:lpstr>#27-Western Maryland Regional</vt:lpstr>
      <vt:lpstr>#28-MedStar St. Marys</vt:lpstr>
      <vt:lpstr>#29-JH Bayview</vt:lpstr>
      <vt:lpstr>#30-UM Shore Health Chestertown</vt:lpstr>
      <vt:lpstr>#32-Union Hospital Cecil Co</vt:lpstr>
      <vt:lpstr>#33-Carroll Hospital Center</vt:lpstr>
      <vt:lpstr>#34-MedStar Harbor Hospital</vt:lpstr>
      <vt:lpstr>#35-UM Charles Regional</vt:lpstr>
      <vt:lpstr>#37-UM Shore Health Easton</vt:lpstr>
      <vt:lpstr>#38-UM Midtown</vt:lpstr>
      <vt:lpstr>#39-Calvert Memorial</vt:lpstr>
      <vt:lpstr>#40-Lifebridge Northwest</vt:lpstr>
      <vt:lpstr>#43-UM BWMC</vt:lpstr>
      <vt:lpstr>#44-GBMC</vt:lpstr>
      <vt:lpstr>#45-McCready</vt:lpstr>
      <vt:lpstr>#48-Howard County</vt:lpstr>
      <vt:lpstr>#49-UM Upper Chesapeake Medical</vt:lpstr>
      <vt:lpstr>#51-Doctors Community Hospital</vt:lpstr>
      <vt:lpstr>#60-Fort Washington</vt:lpstr>
      <vt:lpstr>#61-Atlantic General</vt:lpstr>
      <vt:lpstr>#62-MedStar Southern Maryland</vt:lpstr>
      <vt:lpstr>#63-UM St Joseph</vt:lpstr>
      <vt:lpstr>#64-Levindale</vt:lpstr>
      <vt:lpstr>#65-Holy Cross Germantown</vt:lpstr>
      <vt:lpstr>#2001-UM ROI</vt:lpstr>
      <vt:lpstr>#2004-MedStar Good Samaritan</vt:lpstr>
      <vt:lpstr>#5050-Shady Grove Adventist</vt:lpstr>
      <vt:lpstr>#3029-Adventist Rehab</vt:lpstr>
      <vt:lpstr>#4000-Sheppard Pratt</vt:lpstr>
      <vt:lpstr>#5034-Mt Washington Pediatric</vt:lpstr>
      <vt:lpstr>'#11-St. Agnes Hospital'!Print_Area</vt:lpstr>
      <vt:lpstr>'#12-Sinai'!Print_Area</vt:lpstr>
      <vt:lpstr>'#13-Bon Secours'!Print_Area</vt:lpstr>
      <vt:lpstr>'#15-MedStar Franklin Square'!Print_Area</vt:lpstr>
      <vt:lpstr>'#16-Washington Adventist'!Print_Area</vt:lpstr>
      <vt:lpstr>'#17-Garrett County Memorial'!Print_Area</vt:lpstr>
      <vt:lpstr>'#19-Peninsula Regional'!Print_Area</vt:lpstr>
      <vt:lpstr>'#1-Meritus'!Print_Area</vt:lpstr>
      <vt:lpstr>'#2001-UM ROI'!Print_Area</vt:lpstr>
      <vt:lpstr>'#2004-MedStar Good Samaritan'!Print_Area</vt:lpstr>
      <vt:lpstr>'#22-Suburban'!Print_Area</vt:lpstr>
      <vt:lpstr>'#27-Western Maryland Regional'!Print_Area</vt:lpstr>
      <vt:lpstr>'#2-UMMC'!Print_Area</vt:lpstr>
      <vt:lpstr>'#3029-Adventist Rehab'!Print_Area</vt:lpstr>
      <vt:lpstr>'#32-Union Hospital Cecil Co'!Print_Area</vt:lpstr>
      <vt:lpstr>'#33-Carroll Hospital Center'!Print_Area</vt:lpstr>
      <vt:lpstr>'#35-UM Charles Regional'!Print_Area</vt:lpstr>
      <vt:lpstr>'#38-UM Midtown'!Print_Area</vt:lpstr>
      <vt:lpstr>'#39-Calvert Memorial'!Print_Area</vt:lpstr>
      <vt:lpstr>'#3-Prince Georges Hospital'!Print_Area</vt:lpstr>
      <vt:lpstr>'#4000-Sheppard Pratt'!Print_Area</vt:lpstr>
      <vt:lpstr>'#40-Lifebridge Northwest'!Print_Area</vt:lpstr>
      <vt:lpstr>'#43-UM BWMC'!Print_Area</vt:lpstr>
      <vt:lpstr>'#44-GBMC'!Print_Area</vt:lpstr>
      <vt:lpstr>'#45-McCready'!Print_Area</vt:lpstr>
      <vt:lpstr>'#48-Howard County'!Print_Area</vt:lpstr>
      <vt:lpstr>'#49-UM Upper Chesapeake Medical'!Print_Area</vt:lpstr>
      <vt:lpstr>'#4-Holy Cross Hospital'!Print_Area</vt:lpstr>
      <vt:lpstr>'#5050-Shady Grove Adventist'!Print_Area</vt:lpstr>
      <vt:lpstr>'#51-Doctors Community Hospital'!Print_Area</vt:lpstr>
      <vt:lpstr>'#5-Frederick Memorial Hospital'!Print_Area</vt:lpstr>
      <vt:lpstr>'#60-Fort Washington'!Print_Area</vt:lpstr>
      <vt:lpstr>'#61-Atlantic General'!Print_Area</vt:lpstr>
      <vt:lpstr>'#62-MedStar Southern Maryland'!Print_Area</vt:lpstr>
      <vt:lpstr>'#64-Levindale'!Print_Area</vt:lpstr>
      <vt:lpstr>'#65-Holy Cross Germantown'!Print_Area</vt:lpstr>
      <vt:lpstr>'#6-UM Harford Memorial'!Print_Area</vt:lpstr>
      <vt:lpstr>'#8-Mercy'!Print_Area</vt:lpstr>
      <vt:lpstr>'#9-Johns Hopkins'!Print_Area</vt:lpstr>
      <vt:lpstr>'Attachment II-All Hospitals'!Print_Area</vt:lpstr>
      <vt:lpstr>'CB Table 1'!Print_Area</vt:lpstr>
      <vt:lpstr>'DME_NSPI-all'!Print_Area</vt:lpstr>
      <vt:lpstr>Figures!Print_Area</vt:lpstr>
      <vt:lpstr>'Rate Support-Attachment I'!Print_Area</vt:lpstr>
      <vt:lpstr>'#10-UM Shore Health Dorchester'!Print_Titles</vt:lpstr>
      <vt:lpstr>'#30-UM Shore Health Chestertown'!Print_Titles</vt:lpstr>
      <vt:lpstr>'#37-UM Shore Health Easton'!Print_Titles</vt:lpstr>
      <vt:lpstr>'Attachment III-All'!Print_Titles</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Lynne Diven</cp:lastModifiedBy>
  <cp:lastPrinted>2016-10-11T20:44:07Z</cp:lastPrinted>
  <dcterms:created xsi:type="dcterms:W3CDTF">2003-01-20T15:08:29Z</dcterms:created>
  <dcterms:modified xsi:type="dcterms:W3CDTF">2023-08-21T20:31:40Z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