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il\Documents\P4O\"/>
    </mc:Choice>
  </mc:AlternateContent>
  <bookViews>
    <workbookView xWindow="0" yWindow="0" windowWidth="19200" windowHeight="6474"/>
  </bookViews>
  <sheets>
    <sheet name="Models " sheetId="3" r:id="rId1"/>
    <sheet name="Assumption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3" l="1"/>
  <c r="N30" i="3"/>
  <c r="G18" i="3"/>
  <c r="G29" i="3"/>
  <c r="I7" i="2" l="1"/>
  <c r="J7" i="2" s="1"/>
  <c r="B15" i="2" l="1"/>
  <c r="I6" i="3"/>
  <c r="D22" i="2"/>
  <c r="C22" i="2"/>
  <c r="N40" i="3"/>
  <c r="N41" i="3" s="1"/>
  <c r="G40" i="3"/>
  <c r="G41" i="3" s="1"/>
  <c r="N11" i="3" l="1"/>
  <c r="I9" i="2"/>
  <c r="J9" i="2" s="1"/>
  <c r="I6" i="2"/>
  <c r="J6" i="2" s="1"/>
  <c r="I5" i="2"/>
  <c r="J5" i="2" s="1"/>
  <c r="I4" i="2"/>
  <c r="J4" i="2" s="1"/>
  <c r="D24" i="2" l="1"/>
  <c r="D18" i="2" s="1"/>
  <c r="C24" i="2"/>
  <c r="C18" i="2" s="1"/>
  <c r="E28" i="2"/>
  <c r="J6" i="3"/>
  <c r="C6" i="3"/>
  <c r="B6" i="3"/>
  <c r="J9" i="3" l="1"/>
  <c r="M9" i="3" s="1"/>
  <c r="J10" i="3"/>
  <c r="M10" i="3" s="1"/>
  <c r="J12" i="3"/>
  <c r="M12" i="3" s="1"/>
  <c r="B11" i="3"/>
  <c r="E11" i="3" s="1"/>
  <c r="B9" i="3"/>
  <c r="E9" i="3" s="1"/>
  <c r="B12" i="3"/>
  <c r="E12" i="3" s="1"/>
  <c r="B10" i="3"/>
  <c r="C10" i="3"/>
  <c r="F10" i="3" s="1"/>
  <c r="C11" i="3"/>
  <c r="F11" i="3" s="1"/>
  <c r="C12" i="3"/>
  <c r="F12" i="3" s="1"/>
  <c r="C9" i="3"/>
  <c r="F9" i="3" s="1"/>
  <c r="D6" i="3"/>
  <c r="D9" i="3" l="1"/>
  <c r="D12" i="3"/>
  <c r="G12" i="3" s="1"/>
  <c r="D11" i="3"/>
  <c r="G11" i="3" s="1"/>
  <c r="E10" i="3"/>
  <c r="D10" i="3"/>
  <c r="G10" i="3" s="1"/>
  <c r="B13" i="3"/>
  <c r="C13" i="3"/>
  <c r="F13" i="3" s="1"/>
  <c r="F17" i="3" s="1"/>
  <c r="F18" i="3" s="1"/>
  <c r="E13" i="3" l="1"/>
  <c r="G13" i="3" s="1"/>
  <c r="D13" i="3"/>
  <c r="G9" i="3"/>
  <c r="G17" i="3" l="1"/>
  <c r="G42" i="3" s="1"/>
  <c r="E18" i="3"/>
  <c r="I9" i="3" l="1"/>
  <c r="K9" i="3" s="1"/>
  <c r="I12" i="3"/>
  <c r="L12" i="3" s="1"/>
  <c r="N12" i="3" s="1"/>
  <c r="K6" i="3"/>
  <c r="J13" i="3" s="1"/>
  <c r="M13" i="3" s="1"/>
  <c r="M17" i="3" s="1"/>
  <c r="M18" i="3" s="1"/>
  <c r="I10" i="3"/>
  <c r="L10" i="3" s="1"/>
  <c r="N10" i="3" s="1"/>
  <c r="L9" i="3" l="1"/>
  <c r="N9" i="3" s="1"/>
  <c r="K12" i="3"/>
  <c r="I13" i="3"/>
  <c r="L13" i="3" s="1"/>
  <c r="N13" i="3" s="1"/>
  <c r="K10" i="3"/>
  <c r="N17" i="3" l="1"/>
  <c r="N18" i="3" s="1"/>
  <c r="L17" i="3"/>
  <c r="L18" i="3" s="1"/>
  <c r="N42" i="3" l="1"/>
</calcChain>
</file>

<file path=xl/sharedStrings.xml><?xml version="1.0" encoding="utf-8"?>
<sst xmlns="http://schemas.openxmlformats.org/spreadsheetml/2006/main" count="184" uniqueCount="73">
  <si>
    <t>Reports, risk stratification</t>
  </si>
  <si>
    <t xml:space="preserve"> </t>
  </si>
  <si>
    <t>Assumptions</t>
  </si>
  <si>
    <t>Weeks per year</t>
  </si>
  <si>
    <t>Hours per week</t>
  </si>
  <si>
    <t>Care transitions are already being handled by existing staff.</t>
  </si>
  <si>
    <t>High</t>
  </si>
  <si>
    <t>Rising</t>
  </si>
  <si>
    <t>Intensity Index</t>
  </si>
  <si>
    <t xml:space="preserve">High Risk </t>
  </si>
  <si>
    <t xml:space="preserve">Rising Risk </t>
  </si>
  <si>
    <t xml:space="preserve">Potential </t>
  </si>
  <si>
    <t>Enrollment %</t>
  </si>
  <si>
    <t xml:space="preserve">Net </t>
  </si>
  <si>
    <t xml:space="preserve">Staffing </t>
  </si>
  <si>
    <t xml:space="preserve">Care Manager </t>
  </si>
  <si>
    <t>Total Pop</t>
  </si>
  <si>
    <t>1 visit</t>
  </si>
  <si>
    <t xml:space="preserve">2 visits </t>
  </si>
  <si>
    <t xml:space="preserve">4 visits per day </t>
  </si>
  <si>
    <t xml:space="preserve">visits per year </t>
  </si>
  <si>
    <t xml:space="preserve">assume 4 days of visits, 1 day of follow ups per week </t>
  </si>
  <si>
    <t xml:space="preserve">Total Cost </t>
  </si>
  <si>
    <t xml:space="preserve">Annual Model with SW Home visits (no hands on care) </t>
  </si>
  <si>
    <t xml:space="preserve">Annual Model with no Home visits </t>
  </si>
  <si>
    <t>Program Participants</t>
  </si>
  <si>
    <t>Onboarding</t>
  </si>
  <si>
    <t xml:space="preserve"> Population Class </t>
  </si>
  <si>
    <t>Care Support are social workers for non-clinical work.</t>
  </si>
  <si>
    <t xml:space="preserve">Care coordinators are non-clinical personnel. </t>
  </si>
  <si>
    <t xml:space="preserve">Care Support (SW) </t>
  </si>
  <si>
    <t>RNs</t>
  </si>
  <si>
    <t>SW</t>
  </si>
  <si>
    <t>Non Clinical Care Assistant</t>
  </si>
  <si>
    <t>Salary</t>
  </si>
  <si>
    <t xml:space="preserve">Benefit Load </t>
  </si>
  <si>
    <t xml:space="preserve"> Total</t>
  </si>
  <si>
    <t xml:space="preserve">Care managers are RNs or LCSW-C.  </t>
  </si>
  <si>
    <t>Care Manager - RN or LCSW-C</t>
  </si>
  <si>
    <t xml:space="preserve">Non Clinical Care Assistant </t>
  </si>
  <si>
    <t>LCSW</t>
  </si>
  <si>
    <t xml:space="preserve">Non Clinical Care Assistant Care </t>
  </si>
  <si>
    <t xml:space="preserve">Unit Manager </t>
  </si>
  <si>
    <t>High Risk</t>
  </si>
  <si>
    <t xml:space="preserve">Social Worker - Home visits </t>
  </si>
  <si>
    <t>Care Support (SW)</t>
  </si>
  <si>
    <t xml:space="preserve">  </t>
  </si>
  <si>
    <t>In context alerting of care management status</t>
  </si>
  <si>
    <t xml:space="preserve">Administrative Costs - Annualized </t>
  </si>
  <si>
    <t xml:space="preserve">EMR licenses for new providers </t>
  </si>
  <si>
    <t xml:space="preserve">Start-Up Costs </t>
  </si>
  <si>
    <t>Care Management Software</t>
  </si>
  <si>
    <t xml:space="preserve">Data Warehouse to store care plans </t>
  </si>
  <si>
    <t>Technical assistance (training, mgmt., tools, etc.)</t>
  </si>
  <si>
    <t xml:space="preserve">Phone services </t>
  </si>
  <si>
    <t xml:space="preserve">Number of Patients to Nurse </t>
  </si>
  <si>
    <t>Hospital additonal staffing</t>
  </si>
  <si>
    <t>______________</t>
  </si>
  <si>
    <t>________________</t>
  </si>
  <si>
    <t>_____________________</t>
  </si>
  <si>
    <t xml:space="preserve">SWs are for functional assessment / ADL/IADL visits and resolutions. </t>
  </si>
  <si>
    <t>RN - LC MSW</t>
  </si>
  <si>
    <t>Monthly minimum*</t>
  </si>
  <si>
    <t>* 20 minutes per month</t>
  </si>
  <si>
    <t xml:space="preserve">Salaries plus Admin Load </t>
  </si>
  <si>
    <t xml:space="preserve"> Work hours assumptions </t>
  </si>
  <si>
    <t>Social worker- in home visits  - work hour assumptions</t>
  </si>
  <si>
    <t xml:space="preserve">Patients to 1 worker </t>
  </si>
  <si>
    <t xml:space="preserve">Per Patient Per Month </t>
  </si>
  <si>
    <t>SubTotal</t>
  </si>
  <si>
    <t>Total Annual Budget</t>
  </si>
  <si>
    <t>Contact rate (CCM required)</t>
  </si>
  <si>
    <t xml:space="preserve"> Per Patient Per Month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</si>
</sst>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9C5700"/>
      <name val="Calibri"/>
      <family val="2"/>
      <scheme val="minor"/>
    </font>
    <font>
      <u val="singleAccounting"/>
      <sz val="11"/>
      <color rgb="FF9C5700"/>
      <name val="Calibri"/>
      <family val="2"/>
      <scheme val="minor"/>
    </font>
    <font>
      <i/>
      <sz val="11"/>
      <color rgb="FF9C5700"/>
      <name val="Calibri"/>
      <family val="2"/>
      <scheme val="minor"/>
    </font>
    <font>
      <i/>
      <u val="singleAccounting"/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7" tint="0.59999389629810485"/>
        <bgColor indexed="64"/>
      </patternFill>
    </fill>
  </fills>
  <borders count="17">
    <border>
      <left/>
      <right/>
      <top/>
      <bottom/>
      <diagonal/>
    </border>
    <border>
      <left/>
      <right style="thick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2" borderId="0" applyNumberFormat="0" applyBorder="0" applyAlignment="0" applyProtection="0"/>
    <xf numFmtId="0" fontId="6" fillId="3" borderId="0" applyNumberFormat="0" applyBorder="0" applyAlignment="0" applyProtection="0"/>
  </cellStyleXfs>
  <cellXfs count="13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9" fontId="0" fillId="0" borderId="0" xfId="0" applyNumberFormat="1"/>
    <xf numFmtId="0" fontId="2" fillId="0" borderId="0" xfId="0" applyFont="1" applyAlignment="1"/>
    <xf numFmtId="0" fontId="0" fillId="0" borderId="0" xfId="0"/>
    <xf numFmtId="0" fontId="0" fillId="0" borderId="1" xfId="0" applyBorder="1"/>
    <xf numFmtId="0" fontId="0" fillId="0" borderId="2" xfId="0" applyBorder="1"/>
    <xf numFmtId="0" fontId="4" fillId="2" borderId="2" xfId="3" applyBorder="1"/>
    <xf numFmtId="44" fontId="0" fillId="0" borderId="2" xfId="2" applyFont="1" applyBorder="1"/>
    <xf numFmtId="0" fontId="0" fillId="0" borderId="0" xfId="0"/>
    <xf numFmtId="0" fontId="2" fillId="0" borderId="0" xfId="0" applyFont="1" applyBorder="1" applyAlignment="1">
      <alignment horizontal="center"/>
    </xf>
    <xf numFmtId="9" fontId="2" fillId="0" borderId="0" xfId="0" applyNumberFormat="1" applyFont="1" applyAlignment="1">
      <alignment wrapText="1"/>
    </xf>
    <xf numFmtId="44" fontId="6" fillId="3" borderId="2" xfId="4" applyNumberFormat="1" applyBorder="1"/>
    <xf numFmtId="44" fontId="9" fillId="3" borderId="2" xfId="4" applyNumberFormat="1" applyFont="1" applyBorder="1"/>
    <xf numFmtId="44" fontId="6" fillId="3" borderId="0" xfId="4" applyNumberFormat="1" applyBorder="1"/>
    <xf numFmtId="0" fontId="2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3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9" fontId="8" fillId="3" borderId="5" xfId="4" applyNumberFormat="1" applyFont="1" applyBorder="1"/>
    <xf numFmtId="0" fontId="2" fillId="0" borderId="0" xfId="0" applyFont="1" applyBorder="1"/>
    <xf numFmtId="9" fontId="2" fillId="0" borderId="1" xfId="0" applyNumberFormat="1" applyFont="1" applyBorder="1"/>
    <xf numFmtId="0" fontId="0" fillId="0" borderId="3" xfId="0" applyBorder="1" applyAlignment="1">
      <alignment wrapText="1"/>
    </xf>
    <xf numFmtId="44" fontId="6" fillId="3" borderId="0" xfId="4" applyNumberFormat="1" applyBorder="1" applyAlignment="1"/>
    <xf numFmtId="44" fontId="0" fillId="0" borderId="0" xfId="2" applyFont="1" applyBorder="1" applyAlignment="1"/>
    <xf numFmtId="9" fontId="0" fillId="0" borderId="8" xfId="0" applyNumberFormat="1" applyBorder="1"/>
    <xf numFmtId="44" fontId="0" fillId="0" borderId="8" xfId="2" applyFont="1" applyBorder="1" applyAlignment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0" fillId="0" borderId="3" xfId="0" applyBorder="1" applyAlignment="1">
      <alignment horizontal="right"/>
    </xf>
    <xf numFmtId="0" fontId="6" fillId="3" borderId="0" xfId="4" applyBorder="1" applyProtection="1">
      <protection locked="0"/>
    </xf>
    <xf numFmtId="9" fontId="6" fillId="3" borderId="0" xfId="4" applyNumberFormat="1" applyBorder="1" applyAlignment="1">
      <alignment horizontal="center"/>
    </xf>
    <xf numFmtId="0" fontId="2" fillId="0" borderId="3" xfId="0" applyFont="1" applyBorder="1"/>
    <xf numFmtId="0" fontId="6" fillId="3" borderId="0" xfId="4" applyBorder="1"/>
    <xf numFmtId="9" fontId="0" fillId="0" borderId="3" xfId="0" applyNumberFormat="1" applyBorder="1"/>
    <xf numFmtId="0" fontId="6" fillId="3" borderId="0" xfId="4" applyAlignment="1">
      <alignment horizontal="center"/>
    </xf>
    <xf numFmtId="0" fontId="3" fillId="0" borderId="0" xfId="0" applyFont="1" applyBorder="1"/>
    <xf numFmtId="165" fontId="6" fillId="3" borderId="0" xfId="4" applyNumberFormat="1" applyBorder="1"/>
    <xf numFmtId="9" fontId="6" fillId="3" borderId="0" xfId="4" applyNumberFormat="1" applyBorder="1"/>
    <xf numFmtId="44" fontId="0" fillId="0" borderId="0" xfId="0" applyNumberFormat="1" applyBorder="1"/>
    <xf numFmtId="165" fontId="0" fillId="0" borderId="0" xfId="0" applyNumberFormat="1" applyBorder="1"/>
    <xf numFmtId="44" fontId="2" fillId="0" borderId="0" xfId="0" applyNumberFormat="1" applyFont="1" applyBorder="1"/>
    <xf numFmtId="44" fontId="5" fillId="0" borderId="0" xfId="0" applyNumberFormat="1" applyFont="1" applyBorder="1"/>
    <xf numFmtId="0" fontId="4" fillId="2" borderId="0" xfId="3" applyBorder="1"/>
    <xf numFmtId="44" fontId="4" fillId="2" borderId="0" xfId="3" applyNumberFormat="1" applyBorder="1"/>
    <xf numFmtId="43" fontId="10" fillId="3" borderId="0" xfId="4" applyNumberFormat="1" applyFont="1" applyBorder="1"/>
    <xf numFmtId="0" fontId="0" fillId="0" borderId="0" xfId="0" applyBorder="1" applyProtection="1">
      <protection locked="0"/>
    </xf>
    <xf numFmtId="44" fontId="0" fillId="0" borderId="2" xfId="0" applyNumberFormat="1" applyBorder="1" applyProtection="1">
      <protection locked="0"/>
    </xf>
    <xf numFmtId="44" fontId="0" fillId="0" borderId="0" xfId="2" applyFont="1" applyBorder="1" applyAlignment="1" applyProtection="1">
      <protection locked="0"/>
    </xf>
    <xf numFmtId="44" fontId="0" fillId="0" borderId="1" xfId="2" applyFont="1" applyBorder="1" applyAlignment="1" applyProtection="1">
      <protection locked="0"/>
    </xf>
    <xf numFmtId="2" fontId="0" fillId="0" borderId="0" xfId="0" applyNumberFormat="1" applyBorder="1" applyAlignment="1" applyProtection="1"/>
    <xf numFmtId="44" fontId="0" fillId="0" borderId="2" xfId="0" applyNumberFormat="1" applyBorder="1" applyProtection="1"/>
    <xf numFmtId="44" fontId="2" fillId="0" borderId="2" xfId="0" applyNumberFormat="1" applyFont="1" applyBorder="1" applyProtection="1"/>
    <xf numFmtId="44" fontId="2" fillId="0" borderId="2" xfId="2" applyFont="1" applyBorder="1" applyProtection="1"/>
    <xf numFmtId="165" fontId="0" fillId="0" borderId="0" xfId="1" applyNumberFormat="1" applyFont="1" applyBorder="1" applyProtection="1"/>
    <xf numFmtId="166" fontId="0" fillId="0" borderId="0" xfId="0" applyNumberFormat="1" applyBorder="1" applyProtection="1"/>
    <xf numFmtId="164" fontId="0" fillId="0" borderId="0" xfId="0" applyNumberFormat="1" applyBorder="1" applyProtection="1"/>
    <xf numFmtId="43" fontId="0" fillId="0" borderId="0" xfId="0" applyNumberFormat="1" applyBorder="1" applyProtection="1"/>
    <xf numFmtId="2" fontId="0" fillId="0" borderId="0" xfId="0" applyNumberFormat="1" applyBorder="1" applyProtection="1"/>
    <xf numFmtId="44" fontId="0" fillId="0" borderId="0" xfId="2" applyFont="1" applyBorder="1" applyProtection="1"/>
    <xf numFmtId="44" fontId="0" fillId="0" borderId="0" xfId="0" applyNumberFormat="1" applyBorder="1" applyProtection="1"/>
    <xf numFmtId="44" fontId="0" fillId="0" borderId="1" xfId="2" applyFont="1" applyBorder="1" applyProtection="1"/>
    <xf numFmtId="165" fontId="0" fillId="0" borderId="0" xfId="0" applyNumberFormat="1" applyBorder="1" applyProtection="1"/>
    <xf numFmtId="44" fontId="2" fillId="0" borderId="0" xfId="2" applyFont="1" applyBorder="1" applyProtection="1"/>
    <xf numFmtId="1" fontId="0" fillId="0" borderId="0" xfId="0" applyNumberFormat="1" applyBorder="1" applyAlignment="1" applyProtection="1">
      <alignment horizontal="center"/>
    </xf>
    <xf numFmtId="0" fontId="0" fillId="0" borderId="0" xfId="0" applyBorder="1" applyProtection="1"/>
    <xf numFmtId="0" fontId="6" fillId="3" borderId="0" xfId="4" applyBorder="1" applyProtection="1"/>
    <xf numFmtId="1" fontId="2" fillId="0" borderId="0" xfId="0" applyNumberFormat="1" applyFont="1" applyBorder="1" applyProtection="1"/>
    <xf numFmtId="165" fontId="2" fillId="0" borderId="0" xfId="1" applyNumberFormat="1" applyFont="1" applyBorder="1" applyProtection="1"/>
    <xf numFmtId="0" fontId="10" fillId="3" borderId="0" xfId="4" applyFont="1" applyBorder="1"/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4" fontId="2" fillId="4" borderId="2" xfId="0" applyNumberFormat="1" applyFont="1" applyFill="1" applyBorder="1"/>
    <xf numFmtId="44" fontId="0" fillId="0" borderId="2" xfId="0" applyNumberFormat="1" applyFont="1" applyBorder="1" applyProtection="1"/>
    <xf numFmtId="0" fontId="0" fillId="0" borderId="13" xfId="0" applyBorder="1"/>
    <xf numFmtId="0" fontId="3" fillId="0" borderId="0" xfId="0" applyFont="1" applyBorder="1" applyAlignment="1">
      <alignment horizontal="center"/>
    </xf>
    <xf numFmtId="0" fontId="6" fillId="3" borderId="0" xfId="4" applyBorder="1" applyAlignment="1"/>
    <xf numFmtId="165" fontId="6" fillId="3" borderId="0" xfId="4" applyNumberFormat="1" applyBorder="1" applyAlignment="1"/>
    <xf numFmtId="0" fontId="0" fillId="0" borderId="0" xfId="0" applyBorder="1" applyAlignment="1">
      <alignment horizontal="center"/>
    </xf>
    <xf numFmtId="9" fontId="6" fillId="3" borderId="0" xfId="4" applyNumberFormat="1" applyBorder="1" applyAlignment="1"/>
    <xf numFmtId="1" fontId="2" fillId="0" borderId="0" xfId="0" applyNumberFormat="1" applyFont="1" applyBorder="1" applyAlignment="1" applyProtection="1"/>
    <xf numFmtId="165" fontId="2" fillId="0" borderId="0" xfId="1" applyNumberFormat="1" applyFont="1" applyBorder="1" applyAlignment="1" applyProtection="1"/>
    <xf numFmtId="0" fontId="2" fillId="0" borderId="13" xfId="0" applyFont="1" applyBorder="1"/>
    <xf numFmtId="164" fontId="0" fillId="0" borderId="0" xfId="0" applyNumberFormat="1" applyBorder="1" applyProtection="1">
      <protection locked="0"/>
    </xf>
    <xf numFmtId="44" fontId="0" fillId="0" borderId="0" xfId="0" applyNumberFormat="1" applyBorder="1" applyProtection="1">
      <protection locked="0"/>
    </xf>
    <xf numFmtId="44" fontId="0" fillId="0" borderId="0" xfId="0" applyNumberFormat="1" applyFont="1" applyBorder="1" applyProtection="1"/>
    <xf numFmtId="0" fontId="7" fillId="4" borderId="13" xfId="0" applyFont="1" applyFill="1" applyBorder="1"/>
    <xf numFmtId="44" fontId="2" fillId="0" borderId="0" xfId="0" applyNumberFormat="1" applyFont="1" applyBorder="1" applyProtection="1"/>
    <xf numFmtId="0" fontId="4" fillId="2" borderId="13" xfId="3" applyBorder="1"/>
    <xf numFmtId="0" fontId="10" fillId="3" borderId="13" xfId="4" applyFont="1" applyBorder="1"/>
    <xf numFmtId="0" fontId="6" fillId="3" borderId="13" xfId="4" applyBorder="1"/>
    <xf numFmtId="0" fontId="6" fillId="3" borderId="2" xfId="4" applyBorder="1"/>
    <xf numFmtId="44" fontId="6" fillId="3" borderId="2" xfId="2" applyFont="1" applyFill="1" applyBorder="1"/>
    <xf numFmtId="44" fontId="9" fillId="3" borderId="2" xfId="2" applyFont="1" applyFill="1" applyBorder="1"/>
    <xf numFmtId="39" fontId="6" fillId="3" borderId="2" xfId="4" applyNumberFormat="1" applyBorder="1" applyProtection="1"/>
    <xf numFmtId="0" fontId="0" fillId="0" borderId="14" xfId="0" applyBorder="1"/>
    <xf numFmtId="0" fontId="0" fillId="0" borderId="15" xfId="0" applyBorder="1"/>
    <xf numFmtId="44" fontId="0" fillId="0" borderId="2" xfId="2" applyFont="1" applyBorder="1" applyProtection="1"/>
    <xf numFmtId="44" fontId="5" fillId="4" borderId="2" xfId="0" applyNumberFormat="1" applyFont="1" applyFill="1" applyBorder="1"/>
    <xf numFmtId="165" fontId="0" fillId="0" borderId="2" xfId="0" applyNumberFormat="1" applyBorder="1" applyProtection="1"/>
    <xf numFmtId="44" fontId="10" fillId="3" borderId="2" xfId="4" applyNumberFormat="1" applyFont="1" applyBorder="1"/>
    <xf numFmtId="44" fontId="11" fillId="3" borderId="2" xfId="4" applyNumberFormat="1" applyFont="1" applyBorder="1"/>
    <xf numFmtId="7" fontId="6" fillId="3" borderId="2" xfId="4" applyNumberFormat="1" applyBorder="1" applyProtection="1"/>
    <xf numFmtId="44" fontId="10" fillId="3" borderId="2" xfId="2" applyFont="1" applyFill="1" applyBorder="1"/>
    <xf numFmtId="0" fontId="10" fillId="3" borderId="2" xfId="4" applyFont="1" applyBorder="1"/>
    <xf numFmtId="44" fontId="2" fillId="0" borderId="16" xfId="0" applyNumberFormat="1" applyFont="1" applyBorder="1" applyProtection="1"/>
    <xf numFmtId="44" fontId="2" fillId="4" borderId="1" xfId="0" applyNumberFormat="1" applyFont="1" applyFill="1" applyBorder="1"/>
    <xf numFmtId="0" fontId="12" fillId="0" borderId="0" xfId="0" applyFont="1"/>
    <xf numFmtId="0" fontId="10" fillId="3" borderId="13" xfId="4" applyFont="1" applyBorder="1"/>
    <xf numFmtId="0" fontId="10" fillId="3" borderId="0" xfId="4" applyFont="1" applyBorder="1"/>
    <xf numFmtId="44" fontId="6" fillId="3" borderId="2" xfId="4" applyNumberFormat="1" applyBorder="1" applyProtection="1"/>
    <xf numFmtId="0" fontId="10" fillId="3" borderId="13" xfId="4" applyFont="1" applyBorder="1"/>
    <xf numFmtId="0" fontId="10" fillId="3" borderId="0" xfId="4" applyFont="1" applyBorder="1"/>
    <xf numFmtId="0" fontId="8" fillId="3" borderId="0" xfId="4" applyFont="1" applyBorder="1" applyAlignment="1">
      <alignment horizontal="right" indent="1"/>
    </xf>
    <xf numFmtId="0" fontId="2" fillId="0" borderId="15" xfId="0" applyFont="1" applyBorder="1" applyAlignment="1">
      <alignment horizontal="right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 applyProtection="1">
      <alignment horizontal="right"/>
      <protection locked="0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 indent="1"/>
    </xf>
  </cellXfs>
  <cellStyles count="5">
    <cellStyle name="Comma" xfId="1" builtinId="3"/>
    <cellStyle name="Currency" xfId="2" builtinId="4"/>
    <cellStyle name="Good" xfId="3" builtinId="26"/>
    <cellStyle name="Neutral" xfId="4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topLeftCell="A17" zoomScale="94" zoomScaleNormal="94" workbookViewId="0">
      <selection sqref="A1:G2"/>
    </sheetView>
  </sheetViews>
  <sheetFormatPr defaultRowHeight="14.4" x14ac:dyDescent="0.55000000000000004"/>
  <cols>
    <col min="1" max="1" width="27.26171875" customWidth="1"/>
    <col min="3" max="3" width="9.83984375" bestFit="1" customWidth="1"/>
    <col min="4" max="4" width="11.26171875" bestFit="1" customWidth="1"/>
    <col min="5" max="5" width="20.41796875" customWidth="1"/>
    <col min="6" max="6" width="17.68359375" customWidth="1"/>
    <col min="7" max="7" width="16.15625" customWidth="1"/>
    <col min="8" max="8" width="25.15625" customWidth="1"/>
    <col min="9" max="9" width="12.83984375" customWidth="1"/>
    <col min="10" max="10" width="10.41796875" customWidth="1"/>
    <col min="12" max="12" width="14.578125" customWidth="1"/>
    <col min="13" max="13" width="16.26171875" customWidth="1"/>
    <col min="14" max="14" width="19.83984375" customWidth="1"/>
  </cols>
  <sheetData>
    <row r="1" spans="1:14" x14ac:dyDescent="0.55000000000000004">
      <c r="A1" s="123" t="s">
        <v>23</v>
      </c>
      <c r="B1" s="124"/>
      <c r="C1" s="124"/>
      <c r="D1" s="124"/>
      <c r="E1" s="124"/>
      <c r="F1" s="124"/>
      <c r="G1" s="125"/>
      <c r="H1" s="123" t="s">
        <v>24</v>
      </c>
      <c r="I1" s="124"/>
      <c r="J1" s="124"/>
      <c r="K1" s="124"/>
      <c r="L1" s="124"/>
      <c r="M1" s="124"/>
      <c r="N1" s="125"/>
    </row>
    <row r="2" spans="1:14" x14ac:dyDescent="0.55000000000000004">
      <c r="A2" s="126"/>
      <c r="B2" s="127"/>
      <c r="C2" s="127"/>
      <c r="D2" s="127"/>
      <c r="E2" s="127"/>
      <c r="F2" s="127"/>
      <c r="G2" s="128"/>
      <c r="H2" s="126"/>
      <c r="I2" s="127"/>
      <c r="J2" s="127"/>
      <c r="K2" s="127"/>
      <c r="L2" s="127"/>
      <c r="M2" s="127"/>
      <c r="N2" s="128"/>
    </row>
    <row r="3" spans="1:14" x14ac:dyDescent="0.55000000000000004">
      <c r="A3" s="82" t="s">
        <v>25</v>
      </c>
      <c r="B3" s="44" t="s">
        <v>9</v>
      </c>
      <c r="C3" s="44" t="s">
        <v>10</v>
      </c>
      <c r="D3" s="44" t="s">
        <v>16</v>
      </c>
      <c r="E3" s="44" t="s">
        <v>1</v>
      </c>
      <c r="F3" s="20"/>
      <c r="G3" s="7"/>
      <c r="H3" s="82" t="s">
        <v>25</v>
      </c>
      <c r="I3" s="83" t="s">
        <v>9</v>
      </c>
      <c r="J3" s="83" t="s">
        <v>10</v>
      </c>
      <c r="K3" s="83" t="s">
        <v>16</v>
      </c>
      <c r="L3" s="44" t="s">
        <v>1</v>
      </c>
      <c r="M3" s="20"/>
      <c r="N3" s="7"/>
    </row>
    <row r="4" spans="1:14" x14ac:dyDescent="0.55000000000000004">
      <c r="A4" s="82" t="s">
        <v>11</v>
      </c>
      <c r="B4" s="41">
        <v>51</v>
      </c>
      <c r="C4" s="45">
        <v>400</v>
      </c>
      <c r="D4" s="20"/>
      <c r="E4" s="20"/>
      <c r="F4" s="20"/>
      <c r="G4" s="7"/>
      <c r="H4" s="82" t="s">
        <v>11</v>
      </c>
      <c r="I4" s="84">
        <v>120</v>
      </c>
      <c r="J4" s="85">
        <v>380</v>
      </c>
      <c r="K4" s="86"/>
      <c r="L4" s="20"/>
      <c r="M4" s="20"/>
      <c r="N4" s="7"/>
    </row>
    <row r="5" spans="1:14" x14ac:dyDescent="0.55000000000000004">
      <c r="A5" s="82" t="s">
        <v>12</v>
      </c>
      <c r="B5" s="46">
        <v>0.6</v>
      </c>
      <c r="C5" s="46">
        <v>0.6</v>
      </c>
      <c r="D5" s="20"/>
      <c r="E5" s="20"/>
      <c r="F5" s="20"/>
      <c r="G5" s="7"/>
      <c r="H5" s="82" t="s">
        <v>12</v>
      </c>
      <c r="I5" s="87">
        <v>0.5</v>
      </c>
      <c r="J5" s="87">
        <v>0.6</v>
      </c>
      <c r="K5" s="86"/>
      <c r="L5" s="20"/>
      <c r="M5" s="20"/>
      <c r="N5" s="7"/>
    </row>
    <row r="6" spans="1:14" x14ac:dyDescent="0.55000000000000004">
      <c r="A6" s="82" t="s">
        <v>13</v>
      </c>
      <c r="B6" s="75">
        <f>(B4*B5)</f>
        <v>30.599999999999998</v>
      </c>
      <c r="C6" s="76">
        <f>(C4*C5)</f>
        <v>240</v>
      </c>
      <c r="D6" s="76">
        <f>(B6+C6)</f>
        <v>270.60000000000002</v>
      </c>
      <c r="E6" s="20"/>
      <c r="F6" s="20"/>
      <c r="G6" s="7"/>
      <c r="H6" s="82" t="s">
        <v>13</v>
      </c>
      <c r="I6" s="88">
        <f>(I4*I5)</f>
        <v>60</v>
      </c>
      <c r="J6" s="89">
        <f>(J4*J5)</f>
        <v>228</v>
      </c>
      <c r="K6" s="76">
        <f>(I6+J6)</f>
        <v>288</v>
      </c>
      <c r="L6" s="20"/>
      <c r="M6" s="20"/>
      <c r="N6" s="7"/>
    </row>
    <row r="7" spans="1:14" x14ac:dyDescent="0.55000000000000004">
      <c r="A7" s="82"/>
      <c r="B7" s="20"/>
      <c r="C7" s="20"/>
      <c r="D7" s="20"/>
      <c r="E7" s="78" t="s">
        <v>1</v>
      </c>
      <c r="F7" s="20" t="s">
        <v>1</v>
      </c>
      <c r="G7" s="79" t="s">
        <v>1</v>
      </c>
      <c r="H7" s="82"/>
      <c r="I7" s="20"/>
      <c r="J7" s="20"/>
      <c r="K7" s="20"/>
      <c r="L7" s="20"/>
      <c r="M7" s="20"/>
      <c r="N7" s="7"/>
    </row>
    <row r="8" spans="1:14" x14ac:dyDescent="0.55000000000000004">
      <c r="A8" s="82" t="s">
        <v>14</v>
      </c>
      <c r="B8" s="20"/>
      <c r="C8" s="20"/>
      <c r="D8" s="20"/>
      <c r="E8" s="78" t="s">
        <v>43</v>
      </c>
      <c r="F8" s="78" t="s">
        <v>10</v>
      </c>
      <c r="G8" s="79" t="s">
        <v>22</v>
      </c>
      <c r="H8" s="90" t="s">
        <v>14</v>
      </c>
      <c r="I8" s="20"/>
      <c r="J8" s="20"/>
      <c r="K8" s="20"/>
      <c r="L8" s="78" t="s">
        <v>43</v>
      </c>
      <c r="M8" s="78" t="s">
        <v>10</v>
      </c>
      <c r="N8" s="79" t="s">
        <v>22</v>
      </c>
    </row>
    <row r="9" spans="1:14" x14ac:dyDescent="0.55000000000000004">
      <c r="A9" s="82" t="s">
        <v>38</v>
      </c>
      <c r="B9" s="63">
        <f>$B$6/Assumptions!$C$18</f>
        <v>0.24968749999999998</v>
      </c>
      <c r="C9" s="63">
        <f>($C$6/Assumptions!D18)</f>
        <v>1.375</v>
      </c>
      <c r="D9" s="62">
        <f>($B$9+$C$9)</f>
        <v>1.6246875000000001</v>
      </c>
      <c r="E9" s="67">
        <f>Assumptions!$J$4*$B$9</f>
        <v>24032.421874999996</v>
      </c>
      <c r="F9" s="67">
        <f>Assumptions!$J$4*C9</f>
        <v>132343.75</v>
      </c>
      <c r="G9" s="105">
        <f>Assumptions!J4*D9</f>
        <v>156376.171875</v>
      </c>
      <c r="H9" s="82" t="s">
        <v>38</v>
      </c>
      <c r="I9" s="63">
        <f>$I$6/Assumptions!C18</f>
        <v>0.48958333333333331</v>
      </c>
      <c r="J9" s="63">
        <f>($J$6/Assumptions!D18)</f>
        <v>1.3062500000000001</v>
      </c>
      <c r="K9" s="62">
        <f>($I$9+$J$9)</f>
        <v>1.7958333333333334</v>
      </c>
      <c r="L9" s="67">
        <f>Assumptions!$J$4*I9</f>
        <v>47122.395833333328</v>
      </c>
      <c r="M9" s="67">
        <f>Assumptions!$J$4*J9</f>
        <v>125726.56250000001</v>
      </c>
      <c r="N9" s="59">
        <f>($L$9+$M$9)</f>
        <v>172848.95833333334</v>
      </c>
    </row>
    <row r="10" spans="1:14" x14ac:dyDescent="0.55000000000000004">
      <c r="A10" s="82" t="s">
        <v>39</v>
      </c>
      <c r="B10" s="58">
        <f>$B$6/Assumptions!B33</f>
        <v>6.7999999999999991E-2</v>
      </c>
      <c r="C10" s="58">
        <f>(C6)/Assumptions!B33</f>
        <v>0.53333333333333333</v>
      </c>
      <c r="D10" s="66">
        <f>($B10+$C$10)</f>
        <v>0.60133333333333328</v>
      </c>
      <c r="E10" s="68">
        <f>Assumptions!$J$7*$B$10</f>
        <v>3399.9999999999995</v>
      </c>
      <c r="F10" s="68">
        <f>Assumptions!$J$7*C10</f>
        <v>26666.666666666668</v>
      </c>
      <c r="G10" s="59">
        <f>Assumptions!J7*D10</f>
        <v>30066.666666666664</v>
      </c>
      <c r="H10" s="82" t="s">
        <v>39</v>
      </c>
      <c r="I10" s="58">
        <f>$I$6/Assumptions!B33</f>
        <v>0.13333333333333333</v>
      </c>
      <c r="J10" s="58">
        <f>($J$6)/Assumptions!B33</f>
        <v>0.50666666666666671</v>
      </c>
      <c r="K10" s="66">
        <f>($I$10+$J$10)</f>
        <v>0.64</v>
      </c>
      <c r="L10" s="68">
        <f>Assumptions!$J$7*I10</f>
        <v>6666.666666666667</v>
      </c>
      <c r="M10" s="68">
        <f>Assumptions!$J$7*J10</f>
        <v>25333.333333333336</v>
      </c>
      <c r="N10" s="59">
        <f>($L$10+$M$10)</f>
        <v>32000.000000000004</v>
      </c>
    </row>
    <row r="11" spans="1:14" x14ac:dyDescent="0.55000000000000004">
      <c r="A11" s="82" t="s">
        <v>44</v>
      </c>
      <c r="B11" s="64">
        <f>((($B$6*30%)*15%)+($B$6*30%))/Assumptions!E28</f>
        <v>1.374609375E-2</v>
      </c>
      <c r="C11" s="64">
        <f>((($C$6*30%)*15%)+($C$6*30%))/Assumptions!E28</f>
        <v>0.10781249999999999</v>
      </c>
      <c r="D11" s="64">
        <f>(((D6*30%)*15%)+(D6*30%))/Assumptions!E28</f>
        <v>0.12155859375000001</v>
      </c>
      <c r="E11" s="68">
        <f>Assumptions!$J$6*$B$11</f>
        <v>996.591796875</v>
      </c>
      <c r="F11" s="68">
        <f>Assumptions!$J$6*C11</f>
        <v>7816.4062499999991</v>
      </c>
      <c r="G11" s="59">
        <f>Assumptions!J6*D11</f>
        <v>8812.9980468750018</v>
      </c>
      <c r="H11" s="82" t="s">
        <v>1</v>
      </c>
      <c r="I11" s="91" t="s">
        <v>46</v>
      </c>
      <c r="J11" s="91" t="s">
        <v>1</v>
      </c>
      <c r="K11" s="91" t="s">
        <v>1</v>
      </c>
      <c r="L11" s="92">
        <v>0</v>
      </c>
      <c r="M11" s="92">
        <v>0</v>
      </c>
      <c r="N11" s="55">
        <f t="shared" ref="N11" si="0">(L11+M11)</f>
        <v>0</v>
      </c>
    </row>
    <row r="12" spans="1:14" x14ac:dyDescent="0.55000000000000004">
      <c r="A12" s="82" t="s">
        <v>30</v>
      </c>
      <c r="B12" s="64">
        <f>($B$6*70%)/Assumptions!B35</f>
        <v>2.8559999999999999E-2</v>
      </c>
      <c r="C12" s="64">
        <f>(C6*70%)/Assumptions!B35</f>
        <v>0.224</v>
      </c>
      <c r="D12" s="64">
        <f>(D6*70%)/Assumptions!B35</f>
        <v>0.25256000000000001</v>
      </c>
      <c r="E12" s="68">
        <f>Assumptions!$J$6*$B$12</f>
        <v>2070.6</v>
      </c>
      <c r="F12" s="68">
        <f>Assumptions!$J$6*C12</f>
        <v>16240</v>
      </c>
      <c r="G12" s="59">
        <f>Assumptions!J6*D12</f>
        <v>18310.600000000002</v>
      </c>
      <c r="H12" s="82" t="s">
        <v>45</v>
      </c>
      <c r="I12" s="64">
        <f>($I$6*70%)/Assumptions!B35</f>
        <v>5.6000000000000001E-2</v>
      </c>
      <c r="J12" s="64">
        <f>($J$6*70%)/Assumptions!B35</f>
        <v>0.21279999999999999</v>
      </c>
      <c r="K12" s="64">
        <f>(K6*70%)/750</f>
        <v>0.26879999999999998</v>
      </c>
      <c r="L12" s="68">
        <f>Assumptions!$J$6*I12</f>
        <v>4060</v>
      </c>
      <c r="M12" s="68">
        <f>Assumptions!$J$6*J12</f>
        <v>15428</v>
      </c>
      <c r="N12" s="59">
        <f>($L$12+$M$12)</f>
        <v>19488</v>
      </c>
    </row>
    <row r="13" spans="1:14" x14ac:dyDescent="0.55000000000000004">
      <c r="A13" s="82" t="s">
        <v>42</v>
      </c>
      <c r="B13" s="65">
        <f>$B$6/$D$6</f>
        <v>0.11308203991130819</v>
      </c>
      <c r="C13" s="66">
        <f>$C$6/$D$6</f>
        <v>0.88691796008869173</v>
      </c>
      <c r="D13" s="65">
        <f>($B13+$C$13)</f>
        <v>0.99999999999999989</v>
      </c>
      <c r="E13" s="68">
        <f>Assumptions!$J$9*$B$13</f>
        <v>13428.492239467847</v>
      </c>
      <c r="F13" s="68">
        <f>Assumptions!$J$9*$C$13</f>
        <v>105321.50776053214</v>
      </c>
      <c r="G13" s="59">
        <f>($E$13+$F$13)</f>
        <v>118749.99999999999</v>
      </c>
      <c r="H13" s="82" t="s">
        <v>42</v>
      </c>
      <c r="I13" s="65">
        <f>I6/K6</f>
        <v>0.20833333333333334</v>
      </c>
      <c r="J13" s="66">
        <f>J6/K6</f>
        <v>0.79166666666666663</v>
      </c>
      <c r="K13" s="54">
        <v>1</v>
      </c>
      <c r="L13" s="93">
        <f>Assumptions!$J$9*I13</f>
        <v>24739.583333333336</v>
      </c>
      <c r="M13" s="93">
        <f>Assumptions!$J$9*J13</f>
        <v>94010.416666666657</v>
      </c>
      <c r="N13" s="81">
        <f>($L$13+$M$13)</f>
        <v>118750</v>
      </c>
    </row>
    <row r="14" spans="1:14" x14ac:dyDescent="0.55000000000000004">
      <c r="A14" s="94" t="s">
        <v>56</v>
      </c>
      <c r="B14" s="20"/>
      <c r="C14" s="20"/>
      <c r="D14" s="48" t="s">
        <v>1</v>
      </c>
      <c r="E14" s="49" t="s">
        <v>1</v>
      </c>
      <c r="F14" s="49" t="s">
        <v>1</v>
      </c>
      <c r="G14" s="80" t="s">
        <v>1</v>
      </c>
      <c r="H14" s="94" t="s">
        <v>56</v>
      </c>
      <c r="I14" s="20"/>
      <c r="J14" s="20"/>
      <c r="K14" s="20"/>
      <c r="L14" s="49" t="s">
        <v>1</v>
      </c>
      <c r="M14" s="49" t="s">
        <v>1</v>
      </c>
      <c r="N14" s="80" t="s">
        <v>1</v>
      </c>
    </row>
    <row r="15" spans="1:14" s="10" customFormat="1" ht="16.2" x14ac:dyDescent="0.85">
      <c r="A15" s="94" t="s">
        <v>56</v>
      </c>
      <c r="B15" s="20"/>
      <c r="C15" s="20"/>
      <c r="D15" s="48"/>
      <c r="E15" s="50"/>
      <c r="F15" s="50"/>
      <c r="G15" s="106"/>
      <c r="H15" s="94" t="s">
        <v>56</v>
      </c>
      <c r="I15" s="20"/>
      <c r="J15" s="20"/>
      <c r="K15" s="20"/>
      <c r="L15" s="49"/>
      <c r="M15" s="49"/>
      <c r="N15" s="80"/>
    </row>
    <row r="16" spans="1:14" s="10" customFormat="1" x14ac:dyDescent="0.55000000000000004">
      <c r="A16" s="94" t="s">
        <v>56</v>
      </c>
      <c r="B16" s="20"/>
      <c r="C16" s="20"/>
      <c r="D16" s="48"/>
      <c r="E16" s="49"/>
      <c r="F16" s="49"/>
      <c r="G16" s="80"/>
      <c r="H16" s="94" t="s">
        <v>56</v>
      </c>
      <c r="I16" s="20"/>
      <c r="J16" s="20"/>
      <c r="K16" s="20"/>
      <c r="L16" s="49" t="s">
        <v>57</v>
      </c>
      <c r="M16" s="49" t="s">
        <v>58</v>
      </c>
      <c r="N16" s="114" t="s">
        <v>59</v>
      </c>
    </row>
    <row r="17" spans="1:14" s="10" customFormat="1" x14ac:dyDescent="0.55000000000000004">
      <c r="A17" s="82"/>
      <c r="B17" s="20"/>
      <c r="C17" s="54"/>
      <c r="D17" s="131" t="s">
        <v>69</v>
      </c>
      <c r="E17" s="131"/>
      <c r="F17" s="70">
        <f t="shared" ref="F17" si="1">SUM(F9:F16)</f>
        <v>288388.33067719883</v>
      </c>
      <c r="G17" s="107">
        <f t="shared" ref="G17" si="2">SUM(G9:G16)</f>
        <v>332316.43658854166</v>
      </c>
      <c r="H17" s="82"/>
      <c r="I17" s="20"/>
      <c r="J17" s="131" t="s">
        <v>69</v>
      </c>
      <c r="K17" s="131"/>
      <c r="L17" s="95">
        <f>SUM($L$9:$L$16)</f>
        <v>82588.645833333328</v>
      </c>
      <c r="M17" s="95">
        <f>SUM(M9:M16)</f>
        <v>260498.3125</v>
      </c>
      <c r="N17" s="60">
        <f>SUM(N9:N13)</f>
        <v>343086.95833333337</v>
      </c>
    </row>
    <row r="18" spans="1:14" x14ac:dyDescent="0.55000000000000004">
      <c r="A18" s="82"/>
      <c r="B18" s="20" t="s">
        <v>1</v>
      </c>
      <c r="C18" s="129" t="s">
        <v>68</v>
      </c>
      <c r="D18" s="129"/>
      <c r="E18" s="71">
        <f>($E$17/$B$6)/12</f>
        <v>0</v>
      </c>
      <c r="F18" s="71">
        <f>($F$17/$C$6)/12</f>
        <v>100.13483704069404</v>
      </c>
      <c r="G18" s="61">
        <f>($G$17/$D$6)/12</f>
        <v>102.33938057050432</v>
      </c>
      <c r="H18" s="82"/>
      <c r="I18" s="20"/>
      <c r="J18" s="130" t="s">
        <v>68</v>
      </c>
      <c r="K18" s="130"/>
      <c r="L18" s="71">
        <f>($L$17/$I$6)/12</f>
        <v>114.70645254629629</v>
      </c>
      <c r="M18" s="71">
        <f>($M$17/$J$6)/12</f>
        <v>95.211371527777771</v>
      </c>
      <c r="N18" s="61">
        <f>($N$17/$K$6)/12</f>
        <v>99.272846739969154</v>
      </c>
    </row>
    <row r="19" spans="1:14" x14ac:dyDescent="0.55000000000000004">
      <c r="A19" s="96"/>
      <c r="B19" s="51"/>
      <c r="C19" s="51"/>
      <c r="D19" s="51"/>
      <c r="E19" s="52" t="s">
        <v>1</v>
      </c>
      <c r="F19" s="51"/>
      <c r="G19" s="8"/>
      <c r="H19" s="96"/>
      <c r="I19" s="51"/>
      <c r="J19" s="51"/>
      <c r="K19" s="51"/>
      <c r="L19" s="51"/>
      <c r="M19" s="51"/>
      <c r="N19" s="8"/>
    </row>
    <row r="20" spans="1:14" x14ac:dyDescent="0.55000000000000004">
      <c r="A20" s="90" t="s">
        <v>48</v>
      </c>
      <c r="B20" s="20"/>
      <c r="C20" s="20"/>
      <c r="D20" s="20"/>
      <c r="E20" s="20"/>
      <c r="F20" s="20"/>
      <c r="G20" s="7"/>
      <c r="H20" s="90" t="s">
        <v>48</v>
      </c>
      <c r="I20" s="20"/>
      <c r="J20" s="20"/>
      <c r="K20" s="20"/>
      <c r="L20" s="20"/>
      <c r="M20" s="20"/>
      <c r="N20" s="7"/>
    </row>
    <row r="21" spans="1:14" x14ac:dyDescent="0.55000000000000004">
      <c r="A21" s="82"/>
      <c r="B21" s="20"/>
      <c r="C21" s="20"/>
      <c r="D21" s="20"/>
      <c r="E21" s="47" t="s">
        <v>1</v>
      </c>
      <c r="F21" s="20"/>
      <c r="G21" s="9"/>
      <c r="H21" s="82"/>
      <c r="I21" s="20"/>
      <c r="J21" s="20"/>
      <c r="K21" s="20"/>
      <c r="L21" s="47" t="s">
        <v>1</v>
      </c>
      <c r="M21" s="20"/>
      <c r="N21" s="9"/>
    </row>
    <row r="22" spans="1:14" x14ac:dyDescent="0.55000000000000004">
      <c r="A22" s="97" t="s">
        <v>54</v>
      </c>
      <c r="B22" s="77"/>
      <c r="C22" s="77"/>
      <c r="D22" s="53"/>
      <c r="E22" s="77"/>
      <c r="F22" s="77"/>
      <c r="G22" s="108"/>
      <c r="H22" s="97" t="s">
        <v>54</v>
      </c>
      <c r="I22" s="77"/>
      <c r="J22" s="77"/>
      <c r="K22" s="53" t="s">
        <v>1</v>
      </c>
      <c r="L22" s="41" t="s">
        <v>1</v>
      </c>
      <c r="M22" s="41"/>
      <c r="N22" s="13" t="s">
        <v>1</v>
      </c>
    </row>
    <row r="23" spans="1:14" x14ac:dyDescent="0.55000000000000004">
      <c r="A23" s="97" t="s">
        <v>49</v>
      </c>
      <c r="B23" s="77"/>
      <c r="C23" s="77"/>
      <c r="D23" s="77"/>
      <c r="E23" s="77"/>
      <c r="F23" s="77"/>
      <c r="G23" s="108"/>
      <c r="H23" s="97" t="s">
        <v>49</v>
      </c>
      <c r="I23" s="77"/>
      <c r="J23" s="77"/>
      <c r="K23" s="77"/>
      <c r="L23" s="41"/>
      <c r="M23" s="41"/>
      <c r="N23" s="13" t="s">
        <v>1</v>
      </c>
    </row>
    <row r="24" spans="1:14" x14ac:dyDescent="0.55000000000000004">
      <c r="A24" s="97" t="s">
        <v>0</v>
      </c>
      <c r="B24" s="77"/>
      <c r="C24" s="77"/>
      <c r="D24" s="77"/>
      <c r="E24" s="77"/>
      <c r="F24" s="77" t="s">
        <v>1</v>
      </c>
      <c r="G24" s="108" t="s">
        <v>1</v>
      </c>
      <c r="H24" s="97" t="s">
        <v>0</v>
      </c>
      <c r="I24" s="77"/>
      <c r="J24" s="77"/>
      <c r="K24" s="77"/>
      <c r="L24" s="41"/>
      <c r="M24" s="41"/>
      <c r="N24" s="13" t="s">
        <v>1</v>
      </c>
    </row>
    <row r="25" spans="1:14" x14ac:dyDescent="0.55000000000000004">
      <c r="A25" s="97" t="s">
        <v>47</v>
      </c>
      <c r="B25" s="77"/>
      <c r="C25" s="77"/>
      <c r="D25" s="77"/>
      <c r="E25" s="77"/>
      <c r="F25" s="77" t="s">
        <v>1</v>
      </c>
      <c r="G25" s="108" t="s">
        <v>1</v>
      </c>
      <c r="H25" s="97" t="s">
        <v>47</v>
      </c>
      <c r="I25" s="77"/>
      <c r="J25" s="77"/>
      <c r="K25" s="77"/>
      <c r="L25" s="41"/>
      <c r="M25" s="41" t="s">
        <v>1</v>
      </c>
      <c r="N25" s="13" t="s">
        <v>1</v>
      </c>
    </row>
    <row r="26" spans="1:14" x14ac:dyDescent="0.55000000000000004">
      <c r="A26" s="97" t="s">
        <v>0</v>
      </c>
      <c r="B26" s="77"/>
      <c r="C26" s="77"/>
      <c r="D26" s="77"/>
      <c r="E26" s="77"/>
      <c r="F26" s="77"/>
      <c r="G26" s="108" t="s">
        <v>1</v>
      </c>
      <c r="H26" s="97" t="s">
        <v>0</v>
      </c>
      <c r="I26" s="77"/>
      <c r="J26" s="77"/>
      <c r="K26" s="77"/>
      <c r="L26" s="41"/>
      <c r="M26" s="41"/>
      <c r="N26" s="13" t="s">
        <v>1</v>
      </c>
    </row>
    <row r="27" spans="1:14" x14ac:dyDescent="0.55000000000000004">
      <c r="A27" s="97" t="s">
        <v>1</v>
      </c>
      <c r="B27" s="77"/>
      <c r="C27" s="77"/>
      <c r="D27" s="77"/>
      <c r="E27" s="77"/>
      <c r="F27" s="77"/>
      <c r="G27" s="108" t="s">
        <v>1</v>
      </c>
      <c r="H27" s="97" t="s">
        <v>1</v>
      </c>
      <c r="I27" s="77"/>
      <c r="J27" s="77"/>
      <c r="K27" s="77"/>
      <c r="L27" s="41"/>
      <c r="M27" s="41"/>
      <c r="N27" s="13" t="s">
        <v>46</v>
      </c>
    </row>
    <row r="28" spans="1:14" ht="16.2" x14ac:dyDescent="0.85">
      <c r="A28" s="97" t="s">
        <v>1</v>
      </c>
      <c r="B28" s="77"/>
      <c r="C28" s="77"/>
      <c r="D28" s="77"/>
      <c r="E28" s="77"/>
      <c r="F28" s="77" t="s">
        <v>1</v>
      </c>
      <c r="G28" s="109" t="s">
        <v>1</v>
      </c>
      <c r="H28" s="97" t="s">
        <v>1</v>
      </c>
      <c r="I28" s="77"/>
      <c r="J28" s="77"/>
      <c r="K28" s="77"/>
      <c r="L28" s="41"/>
      <c r="M28" s="41" t="s">
        <v>1</v>
      </c>
      <c r="N28" s="14" t="s">
        <v>1</v>
      </c>
    </row>
    <row r="29" spans="1:14" s="10" customFormat="1" ht="16.2" x14ac:dyDescent="0.85">
      <c r="A29" s="116"/>
      <c r="B29" s="117"/>
      <c r="C29" s="117"/>
      <c r="D29" s="117"/>
      <c r="E29" s="121" t="s">
        <v>69</v>
      </c>
      <c r="F29" s="121"/>
      <c r="G29" s="110">
        <f>SUM(G21:G27)</f>
        <v>0</v>
      </c>
      <c r="H29" s="116"/>
      <c r="I29" s="117"/>
      <c r="J29" s="117"/>
      <c r="K29" s="117"/>
      <c r="L29" s="121" t="s">
        <v>69</v>
      </c>
      <c r="M29" s="121"/>
      <c r="N29" s="14"/>
    </row>
    <row r="30" spans="1:14" x14ac:dyDescent="0.55000000000000004">
      <c r="A30" s="98"/>
      <c r="B30" s="41"/>
      <c r="C30" s="41"/>
      <c r="D30" s="41"/>
      <c r="E30" s="121" t="s">
        <v>68</v>
      </c>
      <c r="F30" s="121"/>
      <c r="G30" s="118">
        <f>($G$29/$D$6)/12</f>
        <v>0</v>
      </c>
      <c r="H30" s="98"/>
      <c r="I30" s="41"/>
      <c r="J30" s="41"/>
      <c r="K30" s="41"/>
      <c r="L30" s="121" t="s">
        <v>72</v>
      </c>
      <c r="M30" s="121"/>
      <c r="N30" s="118">
        <f>($N$29/$K$6)/12</f>
        <v>0</v>
      </c>
    </row>
    <row r="31" spans="1:14" x14ac:dyDescent="0.55000000000000004">
      <c r="A31" s="96"/>
      <c r="B31" s="51"/>
      <c r="C31" s="51"/>
      <c r="D31" s="51"/>
      <c r="E31" s="51"/>
      <c r="F31" s="51" t="s">
        <v>1</v>
      </c>
      <c r="G31" s="8"/>
      <c r="H31" s="96"/>
      <c r="I31" s="51"/>
      <c r="J31" s="51"/>
      <c r="K31" s="51"/>
      <c r="L31" s="51"/>
      <c r="M31" s="51" t="s">
        <v>1</v>
      </c>
      <c r="N31" s="8"/>
    </row>
    <row r="32" spans="1:14" x14ac:dyDescent="0.55000000000000004">
      <c r="A32" s="2" t="s">
        <v>50</v>
      </c>
      <c r="B32" s="10"/>
      <c r="C32" s="10"/>
      <c r="D32" s="10"/>
      <c r="E32" s="10"/>
      <c r="F32" s="10"/>
      <c r="G32" s="6"/>
      <c r="H32" s="115" t="s">
        <v>50</v>
      </c>
      <c r="I32" s="10"/>
      <c r="J32" s="10"/>
      <c r="K32" s="10"/>
      <c r="L32" s="10"/>
      <c r="M32" s="10"/>
      <c r="N32" s="10"/>
    </row>
    <row r="33" spans="1:14" x14ac:dyDescent="0.55000000000000004">
      <c r="A33" s="10"/>
      <c r="B33" s="10"/>
      <c r="C33" s="10"/>
      <c r="D33" s="10"/>
      <c r="E33" s="10"/>
      <c r="F33" s="10"/>
      <c r="G33" s="6"/>
      <c r="H33" s="10"/>
      <c r="I33" s="10"/>
      <c r="J33" s="10"/>
      <c r="K33" s="10"/>
      <c r="L33" s="10"/>
      <c r="M33" s="10"/>
      <c r="N33" s="10"/>
    </row>
    <row r="34" spans="1:14" x14ac:dyDescent="0.55000000000000004">
      <c r="A34" s="119" t="s">
        <v>53</v>
      </c>
      <c r="B34" s="120"/>
      <c r="C34" s="120"/>
      <c r="D34" s="77"/>
      <c r="E34" s="77"/>
      <c r="F34" s="77"/>
      <c r="G34" s="111" t="s">
        <v>1</v>
      </c>
      <c r="H34" s="119" t="s">
        <v>53</v>
      </c>
      <c r="I34" s="120"/>
      <c r="J34" s="120"/>
      <c r="K34" s="77"/>
      <c r="L34" s="41"/>
      <c r="M34" s="41"/>
      <c r="N34" s="100" t="s">
        <v>1</v>
      </c>
    </row>
    <row r="35" spans="1:14" x14ac:dyDescent="0.55000000000000004">
      <c r="A35" s="119" t="s">
        <v>51</v>
      </c>
      <c r="B35" s="120"/>
      <c r="C35" s="120"/>
      <c r="D35" s="77"/>
      <c r="E35" s="77"/>
      <c r="F35" s="77"/>
      <c r="G35" s="112"/>
      <c r="H35" s="119" t="s">
        <v>51</v>
      </c>
      <c r="I35" s="120"/>
      <c r="J35" s="120"/>
      <c r="K35" s="77"/>
      <c r="L35" s="41"/>
      <c r="M35" s="41"/>
      <c r="N35" s="99"/>
    </row>
    <row r="36" spans="1:14" x14ac:dyDescent="0.55000000000000004">
      <c r="A36" s="119" t="s">
        <v>52</v>
      </c>
      <c r="B36" s="120"/>
      <c r="C36" s="120"/>
      <c r="D36" s="77"/>
      <c r="E36" s="77"/>
      <c r="F36" s="77"/>
      <c r="G36" s="112"/>
      <c r="H36" s="119" t="s">
        <v>52</v>
      </c>
      <c r="I36" s="120"/>
      <c r="J36" s="120"/>
      <c r="K36" s="77"/>
      <c r="L36" s="41"/>
      <c r="M36" s="41"/>
      <c r="N36" s="99"/>
    </row>
    <row r="37" spans="1:14" x14ac:dyDescent="0.55000000000000004">
      <c r="A37" s="97" t="s">
        <v>1</v>
      </c>
      <c r="B37" s="77"/>
      <c r="C37" s="77"/>
      <c r="D37" s="77"/>
      <c r="E37" s="77"/>
      <c r="F37" s="77"/>
      <c r="G37" s="111" t="s">
        <v>1</v>
      </c>
      <c r="H37" s="97" t="s">
        <v>1</v>
      </c>
      <c r="I37" s="77"/>
      <c r="J37" s="77"/>
      <c r="K37" s="77"/>
      <c r="L37" s="41"/>
      <c r="M37" s="41"/>
      <c r="N37" s="100" t="s">
        <v>1</v>
      </c>
    </row>
    <row r="38" spans="1:14" x14ac:dyDescent="0.55000000000000004">
      <c r="A38" s="97" t="s">
        <v>1</v>
      </c>
      <c r="B38" s="77"/>
      <c r="C38" s="77"/>
      <c r="D38" s="77"/>
      <c r="E38" s="77"/>
      <c r="F38" s="77"/>
      <c r="G38" s="112" t="s">
        <v>1</v>
      </c>
      <c r="H38" s="97" t="s">
        <v>1</v>
      </c>
      <c r="I38" s="77"/>
      <c r="J38" s="77"/>
      <c r="K38" s="77"/>
      <c r="L38" s="41"/>
      <c r="M38" s="41"/>
      <c r="N38" s="99"/>
    </row>
    <row r="39" spans="1:14" x14ac:dyDescent="0.55000000000000004">
      <c r="A39" s="97"/>
      <c r="B39" s="77"/>
      <c r="C39" s="77"/>
      <c r="D39" s="77"/>
      <c r="E39" s="77"/>
      <c r="F39" s="77"/>
      <c r="G39" s="112"/>
      <c r="H39" s="97"/>
      <c r="I39" s="77"/>
      <c r="J39" s="77"/>
      <c r="K39" s="77"/>
      <c r="L39" s="41"/>
      <c r="M39" s="41"/>
      <c r="N39" s="99"/>
    </row>
    <row r="40" spans="1:14" ht="16.2" x14ac:dyDescent="0.85">
      <c r="A40" s="98"/>
      <c r="B40" s="41"/>
      <c r="C40" s="41"/>
      <c r="D40" s="41"/>
      <c r="E40" s="41"/>
      <c r="F40" s="41"/>
      <c r="G40" s="101">
        <f>SUM(G33:G39)</f>
        <v>0</v>
      </c>
      <c r="H40" s="98"/>
      <c r="I40" s="41"/>
      <c r="J40" s="41"/>
      <c r="K40" s="41"/>
      <c r="L40" s="41"/>
      <c r="M40" s="41"/>
      <c r="N40" s="101">
        <f>SUM(N33:N39)</f>
        <v>0</v>
      </c>
    </row>
    <row r="41" spans="1:14" x14ac:dyDescent="0.55000000000000004">
      <c r="A41" s="98"/>
      <c r="B41" s="41"/>
      <c r="C41" s="41"/>
      <c r="D41" s="41"/>
      <c r="E41" s="121" t="s">
        <v>69</v>
      </c>
      <c r="F41" s="121"/>
      <c r="G41" s="102">
        <f>SUM(G33:G40)</f>
        <v>0</v>
      </c>
      <c r="H41" s="98"/>
      <c r="I41" s="41"/>
      <c r="J41" s="41"/>
      <c r="K41" s="41"/>
      <c r="L41" s="121" t="s">
        <v>69</v>
      </c>
      <c r="M41" s="121"/>
      <c r="N41" s="102">
        <f>SUM(N33:N40)</f>
        <v>0</v>
      </c>
    </row>
    <row r="42" spans="1:14" ht="14.7" thickBot="1" x14ac:dyDescent="0.6">
      <c r="A42" s="103"/>
      <c r="B42" s="104"/>
      <c r="C42" s="104"/>
      <c r="D42" s="104"/>
      <c r="E42" s="122" t="s">
        <v>70</v>
      </c>
      <c r="F42" s="122"/>
      <c r="G42" s="113">
        <f>($G$17+$G$30+$G$41)</f>
        <v>332316.43658854166</v>
      </c>
      <c r="H42" s="103"/>
      <c r="I42" s="104"/>
      <c r="J42" s="104"/>
      <c r="K42" s="104"/>
      <c r="L42" s="122" t="s">
        <v>70</v>
      </c>
      <c r="M42" s="122"/>
      <c r="N42" s="113">
        <f>($N$17+$N$30+$N$41)</f>
        <v>343086.95833333337</v>
      </c>
    </row>
  </sheetData>
  <sheetProtection algorithmName="SHA-512" hashValue="KW+bcE0SVhRqqzIUcsUmHE9cFcPBRBXTYBvu0gt4+Etrp6YhazezmHFFW6uWnLrb8llKVT6qZ1lO2dy0fPdGuA==" saltValue="wEGaGaSSqem2aY/0Gw28Jg==" spinCount="100000" sheet="1" objects="1" scenarios="1"/>
  <protectedRanges>
    <protectedRange sqref="N14:N16" name="Hosp2 Additl Staff Total Cost"/>
    <protectedRange sqref="H14:H16" name="Hosp2 addtl Staff"/>
    <protectedRange sqref="G14:G16" name="Hosp1 Addtl Staff Total Cost"/>
    <protectedRange sqref="A14:A16" name="Hosp1 addtl staff"/>
    <protectedRange sqref="B4:C5" name="Program Participants w home visits"/>
    <protectedRange sqref="I4:J5" name="Prog Participants no home visits"/>
    <protectedRange sqref="A22:G28 A29:D29" name="Admin Costs Home visits"/>
    <protectedRange sqref="H22:N28 H29:K29 N29" name="Admin Costs no home visits"/>
    <protectedRange sqref="A33:G40" name="Startup costs home visits"/>
    <protectedRange sqref="H33:N40" name="Startup costs no home visits"/>
  </protectedRanges>
  <mergeCells count="20">
    <mergeCell ref="A1:G2"/>
    <mergeCell ref="C18:D18"/>
    <mergeCell ref="H1:N2"/>
    <mergeCell ref="J18:K18"/>
    <mergeCell ref="H34:J34"/>
    <mergeCell ref="J17:K17"/>
    <mergeCell ref="D17:E17"/>
    <mergeCell ref="E30:F30"/>
    <mergeCell ref="L30:M30"/>
    <mergeCell ref="A34:C34"/>
    <mergeCell ref="E29:F29"/>
    <mergeCell ref="L29:M29"/>
    <mergeCell ref="A35:C35"/>
    <mergeCell ref="A36:C36"/>
    <mergeCell ref="L41:M41"/>
    <mergeCell ref="E41:F41"/>
    <mergeCell ref="E42:F42"/>
    <mergeCell ref="L42:M42"/>
    <mergeCell ref="H35:J35"/>
    <mergeCell ref="H36:J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opLeftCell="A21" zoomScale="105" zoomScaleNormal="105" workbookViewId="0">
      <selection activeCell="E25" sqref="E25"/>
    </sheetView>
  </sheetViews>
  <sheetFormatPr defaultRowHeight="14.4" x14ac:dyDescent="0.55000000000000004"/>
  <cols>
    <col min="1" max="1" width="16.578125" customWidth="1"/>
    <col min="2" max="2" width="19.83984375" customWidth="1"/>
    <col min="3" max="3" width="14.26171875" bestFit="1" customWidth="1"/>
    <col min="5" max="5" width="11.15625" customWidth="1"/>
    <col min="7" max="7" width="16" customWidth="1"/>
    <col min="8" max="8" width="12.578125" customWidth="1"/>
    <col min="9" max="9" width="12.26171875" customWidth="1"/>
    <col min="10" max="10" width="12.15625" customWidth="1"/>
  </cols>
  <sheetData>
    <row r="1" spans="1:11" ht="14.7" thickBot="1" x14ac:dyDescent="0.6">
      <c r="G1" s="2" t="s">
        <v>64</v>
      </c>
      <c r="H1" s="2"/>
    </row>
    <row r="2" spans="1:11" ht="15" thickTop="1" thickBot="1" x14ac:dyDescent="0.6">
      <c r="G2" s="24"/>
      <c r="H2" s="17"/>
      <c r="I2" s="25">
        <v>0.25</v>
      </c>
      <c r="J2" s="18"/>
    </row>
    <row r="3" spans="1:11" ht="14.7" thickTop="1" x14ac:dyDescent="0.55000000000000004">
      <c r="A3" s="16" t="s">
        <v>2</v>
      </c>
      <c r="B3" s="17"/>
      <c r="C3" s="17"/>
      <c r="D3" s="18"/>
      <c r="E3" s="5"/>
      <c r="G3" s="19"/>
      <c r="H3" s="11" t="s">
        <v>34</v>
      </c>
      <c r="I3" s="26" t="s">
        <v>35</v>
      </c>
      <c r="J3" s="27" t="s">
        <v>36</v>
      </c>
    </row>
    <row r="4" spans="1:11" x14ac:dyDescent="0.55000000000000004">
      <c r="A4" s="19" t="s">
        <v>37</v>
      </c>
      <c r="B4" s="20"/>
      <c r="C4" s="20"/>
      <c r="D4" s="6"/>
      <c r="E4" s="5"/>
      <c r="G4" s="19" t="s">
        <v>31</v>
      </c>
      <c r="H4" s="15">
        <v>77000</v>
      </c>
      <c r="I4" s="67">
        <f>($I$2*H4)</f>
        <v>19250</v>
      </c>
      <c r="J4" s="69">
        <f>(H4+I4)</f>
        <v>96250</v>
      </c>
    </row>
    <row r="5" spans="1:11" x14ac:dyDescent="0.55000000000000004">
      <c r="A5" s="19" t="s">
        <v>29</v>
      </c>
      <c r="B5" s="20"/>
      <c r="C5" s="20"/>
      <c r="D5" s="6"/>
      <c r="E5" s="5"/>
      <c r="G5" s="19" t="s">
        <v>40</v>
      </c>
      <c r="H5" s="15">
        <v>68000</v>
      </c>
      <c r="I5" s="67">
        <f t="shared" ref="I5:I7" si="0">($I$2*H5)</f>
        <v>17000</v>
      </c>
      <c r="J5" s="69">
        <f t="shared" ref="J5:J9" si="1">(H5+I5)</f>
        <v>85000</v>
      </c>
      <c r="K5" s="3"/>
    </row>
    <row r="6" spans="1:11" x14ac:dyDescent="0.55000000000000004">
      <c r="A6" s="19" t="s">
        <v>28</v>
      </c>
      <c r="B6" s="20"/>
      <c r="C6" s="20"/>
      <c r="D6" s="6"/>
      <c r="E6" s="5"/>
      <c r="G6" s="19" t="s">
        <v>32</v>
      </c>
      <c r="H6" s="15">
        <v>58000</v>
      </c>
      <c r="I6" s="67">
        <f t="shared" si="0"/>
        <v>14500</v>
      </c>
      <c r="J6" s="69">
        <f t="shared" si="1"/>
        <v>72500</v>
      </c>
      <c r="K6" s="1"/>
    </row>
    <row r="7" spans="1:11" ht="14.5" customHeight="1" x14ac:dyDescent="0.55000000000000004">
      <c r="A7" s="19" t="s">
        <v>60</v>
      </c>
      <c r="B7" s="20"/>
      <c r="C7" s="20"/>
      <c r="D7" s="6"/>
      <c r="E7" s="5"/>
      <c r="G7" s="28" t="s">
        <v>33</v>
      </c>
      <c r="H7" s="29">
        <v>40000</v>
      </c>
      <c r="I7" s="67">
        <f t="shared" si="0"/>
        <v>10000</v>
      </c>
      <c r="J7" s="69">
        <f t="shared" si="1"/>
        <v>50000</v>
      </c>
    </row>
    <row r="8" spans="1:11" x14ac:dyDescent="0.55000000000000004">
      <c r="A8" s="19" t="s">
        <v>5</v>
      </c>
      <c r="B8" s="20"/>
      <c r="C8" s="20"/>
      <c r="D8" s="6"/>
      <c r="E8" s="5"/>
      <c r="G8" s="28"/>
      <c r="H8" s="30"/>
      <c r="I8" s="56"/>
      <c r="J8" s="57"/>
    </row>
    <row r="9" spans="1:11" ht="14.7" thickBot="1" x14ac:dyDescent="0.6">
      <c r="A9" s="21"/>
      <c r="B9" s="22"/>
      <c r="C9" s="22"/>
      <c r="D9" s="23"/>
      <c r="E9" s="5"/>
      <c r="G9" s="19" t="s">
        <v>42</v>
      </c>
      <c r="H9" s="15">
        <v>95000</v>
      </c>
      <c r="I9" s="67">
        <f t="shared" ref="I9" si="2">($I$2*H9)</f>
        <v>23750</v>
      </c>
      <c r="J9" s="69">
        <f t="shared" si="1"/>
        <v>118750</v>
      </c>
    </row>
    <row r="10" spans="1:11" ht="15" thickTop="1" thickBot="1" x14ac:dyDescent="0.6">
      <c r="B10" s="5"/>
      <c r="C10" s="5"/>
      <c r="D10" s="5"/>
      <c r="E10" s="5"/>
      <c r="G10" s="21"/>
      <c r="H10" s="31"/>
      <c r="I10" s="32"/>
      <c r="J10" s="23"/>
    </row>
    <row r="11" spans="1:11" ht="15" thickTop="1" thickBot="1" x14ac:dyDescent="0.6"/>
    <row r="12" spans="1:11" ht="14.7" thickTop="1" x14ac:dyDescent="0.55000000000000004">
      <c r="A12" s="33" t="s">
        <v>61</v>
      </c>
      <c r="B12" s="34" t="s">
        <v>15</v>
      </c>
      <c r="C12" s="35" t="s">
        <v>65</v>
      </c>
      <c r="D12" s="17"/>
      <c r="E12" s="36" t="s">
        <v>1</v>
      </c>
    </row>
    <row r="13" spans="1:11" x14ac:dyDescent="0.55000000000000004">
      <c r="A13" s="37" t="s">
        <v>3</v>
      </c>
      <c r="B13" s="38">
        <v>48</v>
      </c>
      <c r="C13" s="20"/>
      <c r="D13" s="20"/>
      <c r="E13" s="6"/>
    </row>
    <row r="14" spans="1:11" x14ac:dyDescent="0.55000000000000004">
      <c r="A14" s="37" t="s">
        <v>4</v>
      </c>
      <c r="B14" s="38">
        <v>36</v>
      </c>
      <c r="C14" s="20"/>
      <c r="D14" s="20"/>
      <c r="E14" s="6" t="s">
        <v>1</v>
      </c>
      <c r="F14" t="s">
        <v>1</v>
      </c>
    </row>
    <row r="15" spans="1:11" x14ac:dyDescent="0.55000000000000004">
      <c r="A15" s="19"/>
      <c r="B15" s="10">
        <f>(B13*B14)</f>
        <v>1728</v>
      </c>
      <c r="C15" s="20"/>
      <c r="D15" s="20"/>
      <c r="E15" s="6"/>
      <c r="G15" t="s">
        <v>1</v>
      </c>
      <c r="H15" t="s">
        <v>1</v>
      </c>
    </row>
    <row r="16" spans="1:11" x14ac:dyDescent="0.55000000000000004">
      <c r="A16" s="19"/>
      <c r="B16" s="20"/>
      <c r="C16" s="20"/>
      <c r="D16" s="20"/>
      <c r="E16" s="6"/>
    </row>
    <row r="17" spans="1:9" x14ac:dyDescent="0.55000000000000004">
      <c r="A17" s="19" t="s">
        <v>71</v>
      </c>
      <c r="B17" s="20"/>
      <c r="C17" s="39">
        <v>0.9</v>
      </c>
      <c r="D17" s="39">
        <v>0.85</v>
      </c>
      <c r="E17" s="6"/>
    </row>
    <row r="18" spans="1:9" x14ac:dyDescent="0.55000000000000004">
      <c r="A18" s="19" t="s">
        <v>55</v>
      </c>
      <c r="B18" s="20"/>
      <c r="C18" s="72">
        <f>($B$15/$C$24)</f>
        <v>122.55319148936171</v>
      </c>
      <c r="D18" s="72">
        <f>($B$15/$D$24)</f>
        <v>174.54545454545453</v>
      </c>
      <c r="E18" s="6"/>
    </row>
    <row r="19" spans="1:9" x14ac:dyDescent="0.55000000000000004">
      <c r="A19" s="19"/>
      <c r="B19" s="20"/>
      <c r="C19" s="20"/>
      <c r="D19" s="20"/>
      <c r="E19" s="6"/>
    </row>
    <row r="20" spans="1:9" x14ac:dyDescent="0.55000000000000004">
      <c r="A20" s="40" t="s">
        <v>27</v>
      </c>
      <c r="B20" s="20"/>
      <c r="C20" s="11" t="s">
        <v>6</v>
      </c>
      <c r="D20" s="11" t="s">
        <v>7</v>
      </c>
      <c r="E20" s="6"/>
    </row>
    <row r="21" spans="1:9" x14ac:dyDescent="0.55000000000000004">
      <c r="A21" s="19"/>
      <c r="B21" s="20" t="s">
        <v>26</v>
      </c>
      <c r="C21" s="41">
        <v>1.5</v>
      </c>
      <c r="D21" s="41">
        <v>1.5</v>
      </c>
      <c r="E21" s="6"/>
    </row>
    <row r="22" spans="1:9" x14ac:dyDescent="0.55000000000000004">
      <c r="A22" s="42" t="s">
        <v>1</v>
      </c>
      <c r="B22" s="20" t="s">
        <v>62</v>
      </c>
      <c r="C22" s="41">
        <f>((12*20)*90%)/60</f>
        <v>3.6</v>
      </c>
      <c r="D22" s="41">
        <f>((12*20)*85%)/60</f>
        <v>3.4</v>
      </c>
      <c r="E22" s="6"/>
    </row>
    <row r="23" spans="1:9" x14ac:dyDescent="0.55000000000000004">
      <c r="A23" s="19"/>
      <c r="B23" s="20" t="s">
        <v>8</v>
      </c>
      <c r="C23" s="41">
        <v>9</v>
      </c>
      <c r="D23" s="41">
        <v>5</v>
      </c>
      <c r="E23" s="6"/>
    </row>
    <row r="24" spans="1:9" x14ac:dyDescent="0.55000000000000004">
      <c r="A24" s="19"/>
      <c r="B24" s="20"/>
      <c r="C24" s="73">
        <f>SUM(C21:C23)</f>
        <v>14.1</v>
      </c>
      <c r="D24" s="73">
        <f>SUM(D21:D23)</f>
        <v>9.9</v>
      </c>
      <c r="E24" s="6"/>
    </row>
    <row r="25" spans="1:9" ht="14.7" thickBot="1" x14ac:dyDescent="0.6">
      <c r="A25" s="21"/>
      <c r="B25" s="22" t="s">
        <v>63</v>
      </c>
      <c r="C25" s="22" t="s">
        <v>1</v>
      </c>
      <c r="D25" s="22" t="s">
        <v>1</v>
      </c>
      <c r="E25" s="23"/>
    </row>
    <row r="26" spans="1:9" ht="15" thickTop="1" thickBot="1" x14ac:dyDescent="0.6">
      <c r="E26" t="s">
        <v>1</v>
      </c>
      <c r="G26" t="s">
        <v>1</v>
      </c>
      <c r="H26" t="s">
        <v>1</v>
      </c>
    </row>
    <row r="27" spans="1:9" ht="14.7" thickTop="1" x14ac:dyDescent="0.55000000000000004">
      <c r="A27" s="16" t="s">
        <v>66</v>
      </c>
      <c r="B27" s="35"/>
      <c r="C27" s="17"/>
      <c r="D27" s="17"/>
      <c r="E27" s="35" t="s">
        <v>20</v>
      </c>
      <c r="F27" s="18"/>
      <c r="H27" t="s">
        <v>1</v>
      </c>
      <c r="I27" t="s">
        <v>1</v>
      </c>
    </row>
    <row r="28" spans="1:9" x14ac:dyDescent="0.55000000000000004">
      <c r="A28" s="42">
        <v>0.3</v>
      </c>
      <c r="B28" s="20" t="s">
        <v>17</v>
      </c>
      <c r="C28" s="20" t="s">
        <v>19</v>
      </c>
      <c r="D28" s="20"/>
      <c r="E28" s="74">
        <f>(B13*16)</f>
        <v>768</v>
      </c>
      <c r="F28" s="6" t="s">
        <v>1</v>
      </c>
      <c r="H28" t="s">
        <v>1</v>
      </c>
    </row>
    <row r="29" spans="1:9" x14ac:dyDescent="0.55000000000000004">
      <c r="A29" s="42">
        <v>0.15</v>
      </c>
      <c r="B29" s="20" t="s">
        <v>18</v>
      </c>
      <c r="C29" s="20"/>
      <c r="D29" s="20"/>
      <c r="E29" s="20"/>
      <c r="F29" s="6"/>
      <c r="I29" t="s">
        <v>1</v>
      </c>
    </row>
    <row r="30" spans="1:9" x14ac:dyDescent="0.55000000000000004">
      <c r="A30" s="19" t="s">
        <v>21</v>
      </c>
      <c r="B30" s="20"/>
      <c r="C30" s="20"/>
      <c r="D30" s="20"/>
      <c r="E30" s="20"/>
      <c r="F30" s="6"/>
    </row>
    <row r="31" spans="1:9" ht="14.7" thickBot="1" x14ac:dyDescent="0.6">
      <c r="A31" s="21"/>
      <c r="B31" s="22"/>
      <c r="C31" s="22"/>
      <c r="D31" s="22"/>
      <c r="E31" s="22"/>
      <c r="F31" s="23"/>
    </row>
    <row r="32" spans="1:9" ht="14.7" thickTop="1" x14ac:dyDescent="0.55000000000000004">
      <c r="A32" t="s">
        <v>1</v>
      </c>
      <c r="B32" s="2" t="s">
        <v>67</v>
      </c>
    </row>
    <row r="33" spans="1:6" ht="14.5" customHeight="1" x14ac:dyDescent="0.55000000000000004">
      <c r="A33" s="12" t="s">
        <v>41</v>
      </c>
      <c r="B33" s="43">
        <v>450</v>
      </c>
    </row>
    <row r="34" spans="1:6" x14ac:dyDescent="0.55000000000000004">
      <c r="A34" s="12"/>
      <c r="B34" s="4"/>
      <c r="F34" t="s">
        <v>1</v>
      </c>
    </row>
    <row r="35" spans="1:6" x14ac:dyDescent="0.55000000000000004">
      <c r="A35" s="4" t="s">
        <v>30</v>
      </c>
      <c r="B35" s="43">
        <v>750</v>
      </c>
    </row>
  </sheetData>
  <sheetProtection algorithmName="SHA-512" hashValue="RvMWt9kEVyIe6miMQA9e4eCgHyJGSAQ0IlNe3TtIOfuHeQ78oXI8b5AaQGZWhE221r0KunNFmLo4quK56V/U/g==" saltValue="FTticu6zo5G5FhNae5q9Pw==" spinCount="100000" sheet="1" objects="1" scenarios="1"/>
  <protectedRanges>
    <protectedRange sqref="I2" name="Admin Load Percent"/>
    <protectedRange sqref="H4:H9" name="Salaries"/>
    <protectedRange sqref="B33:B35" name="Patients to 1 worker"/>
    <protectedRange sqref="E28" name="Social Woker Visits per yr"/>
    <protectedRange sqref="C21:D23" name="Population Class"/>
    <protectedRange sqref="C17:D17" name="Contact Rate"/>
    <protectedRange sqref="B13:B14" name="Care Manager"/>
  </protectedRange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3FCE9D-994D-432F-B19C-98E432DDFE0E}"/>
</file>

<file path=customXml/itemProps2.xml><?xml version="1.0" encoding="utf-8"?>
<ds:datastoreItem xmlns:ds="http://schemas.openxmlformats.org/officeDocument/2006/customXml" ds:itemID="{D9E5953F-1C4B-4CB5-915B-31EB7C1F1BA2}"/>
</file>

<file path=customXml/itemProps3.xml><?xml version="1.0" encoding="utf-8"?>
<ds:datastoreItem xmlns:ds="http://schemas.openxmlformats.org/officeDocument/2006/customXml" ds:itemID="{7609B382-AD6D-4B40-AAF6-73B34E8683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Models </vt:lpstr>
      <vt:lpstr>Assumptions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Gail Miller</dc:creator>
  <cp:lastModifiedBy>Gail Miller</cp:lastModifiedBy>
  <dcterms:created xsi:type="dcterms:W3CDTF">2017-02-09T14:41:27Z</dcterms:created>
  <dcterms:modified xsi:type="dcterms:W3CDTF">2017-04-05T17:58:24Z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